
<file path=[Content_Types].xml><?xml version="1.0" encoding="utf-8"?>
<Types xmlns="http://schemas.openxmlformats.org/package/2006/content-types">
  <Default Extension="bin" ContentType="application/vnd.openxmlformats-officedocument.spreadsheetml.customProperty"/>
  <Default Extension="gif" ContentType="image/gi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customProperty1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Metadata/LabelInfo.xml" ContentType="application/vnd.ms-office.classificationlabel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5" Type="http://schemas.openxmlformats.org/officeDocument/2006/relationships/custom-properties" Target="docProps/custom.xml" /><Relationship Id="rId2" Type="http://schemas.microsoft.com/office/2020/02/relationships/classificationlabels" Target="docMetadata/LabelInfo.xml" /><Relationship Id="rId1" Type="http://schemas.openxmlformats.org/officeDocument/2006/relationships/officeDocument" Target="xl/workbook.xml" /><Relationship Id="rId3" Type="http://schemas.openxmlformats.org/officeDocument/2006/relationships/extended-properties" Target="docProps/app.xml" /><Relationship Id="rId4"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fileVersion appName="xl" lastEdited="7" lowestEdited="7" rupBuild="29929"/>
  <workbookPr codeName="ThisWorkbook" defaultThemeVersion="166925"/>
  <workbookProtection workbookAlgorithmName="SHA-512" workbookHashValue="/bhZBleL2vSVz3jvRUe8QFMagqblGLhOkjmezYksrq3trcoYrShBlLFABpZlFEXHO4cFsDJRUUtzaM/BZLoRpw==" workbookSaltValue="3PuoITC/bqZja+B5o8prZQ==" workbookSpinCount="100000" lockStructure="1"/>
  <bookViews>
    <workbookView xWindow="32895" yWindow="3390" windowWidth="17280" windowHeight="9960" tabRatio="759" activeTab="2"/>
  </bookViews>
  <sheets>
    <sheet name="Introduction" sheetId="8" r:id="rId1"/>
    <sheet name="Info" sheetId="3" r:id="rId2"/>
    <sheet name="Stage 1" sheetId="1" r:id="rId3"/>
    <sheet name="Stage 2" sheetId="4" r:id="rId4"/>
    <sheet name="Stage 3" sheetId="5" r:id="rId5"/>
    <sheet name="Stage 4" sheetId="6" r:id="rId6"/>
    <sheet name="Mitigation - current" sheetId="7" r:id="rId7"/>
    <sheet name="Mitigation - post 2026" sheetId="28" r:id="rId8"/>
    <sheet name="Mitigation - post 2030" sheetId="30" r:id="rId9"/>
    <sheet name="Mitigation comparison" sheetId="14" r:id="rId10"/>
    <sheet name="Zero value Calc" sheetId="18" r:id="rId11"/>
    <sheet name="Graph Calculations" sheetId="19" r:id="rId12" state="hidden"/>
    <sheet name="Rainfall" sheetId="29" r:id="rId13"/>
    <sheet name="Data Tables" sheetId="2" r:id="rId14"/>
    <sheet name="_SSC" sheetId="17" r:id="rId15" state="veryHidden"/>
  </sheets>
  <definedNames>
    <definedName name="_Ctrl_1" comment="" hidden="1">'Introduction'!#REF!</definedName>
    <definedName name="_Ctrl_2" comment="" hidden="1">Introduction!$C$181</definedName>
    <definedName name="_Ctrl_3" comment="" hidden="1">Introduction!$C$183</definedName>
    <definedName name="_Ctrl_4" comment="" hidden="1">Introduction!$C$40</definedName>
    <definedName name="_Ctrl_5" comment="" hidden="1">Info!$C$13</definedName>
    <definedName name="_Ctrl_6" comment="" hidden="1">Info!$E$8</definedName>
    <definedName name="_Ctrl_65" comment="" hidden="1">'Zero value Calc'!#REF!</definedName>
    <definedName name="_Ctrl_7" comment="" hidden="1">Info!$E$6</definedName>
    <definedName name="_ctrl_ram_63" comment="" localSheetId="11" hidden="1">'Graph Calculations'!#REF!</definedName>
    <definedName name="_ctrl_ram_63" comment="" hidden="1">'Zero value Calc'!$K$15</definedName>
    <definedName name="_dep_ram_63" comment="" localSheetId="11" hidden="1">'Graph Calculations'!$E$5:$AB$14</definedName>
    <definedName name="_dep_ram_63" comment="" hidden="1">'Zero value Calc'!#REF!</definedName>
    <definedName name="No" comment="" localSheetId="11">'Graph Calculations'!#REF!</definedName>
    <definedName name="No" comment="" localSheetId="10">'Zero value Calc'!#REF!</definedName>
    <definedName name="No" comment="">'Stage 4'!#REF!</definedName>
    <definedName name="OsTWs" comment="" localSheetId="7">Table3[Treatment type]</definedName>
    <definedName name="OsTWs" comment="" localSheetId="8">Table3[Treatment type]</definedName>
    <definedName name="OsTWs" comment="">Table3[Treatment type]</definedName>
    <definedName name="permit" comment="">'Data Tables'!$B$3:$D$86</definedName>
    <definedName name="permits" comment="">'Data Tables'!$B$3:$I$86</definedName>
    <definedName name="permits_2030" comment="">Table1[]</definedName>
    <definedName name="_xlnm.Print_Area" comment="" localSheetId="13">'Data Tables'!$B$2:$X$24</definedName>
    <definedName name="_xlnm.Print_Area" comment="" localSheetId="11">'Graph Calculations'!$B$2:$C$52</definedName>
    <definedName name="_xlnm.Print_Area" comment="" localSheetId="1">Info!$B$3:$N$17</definedName>
    <definedName name="_xlnm.Print_Area" comment="" localSheetId="0">Introduction!$B$2:$Q$226</definedName>
    <definedName name="_xlnm.Print_Area" comment="" localSheetId="6">'Mitigation - current'!$B$2:$AC$89</definedName>
    <definedName name="_xlnm.Print_Area" comment="" localSheetId="7">'Mitigation - post 2026'!$B$2:$AA$88</definedName>
    <definedName name="_xlnm.Print_Area" comment="" localSheetId="8">'Mitigation - post 2030'!$B$2:$AC$89</definedName>
    <definedName name="_xlnm.Print_Area" comment="" localSheetId="9">'Mitigation comparison'!$B$2:$S$17</definedName>
    <definedName name="_xlnm.Print_Area" comment="" localSheetId="2">'Stage 1'!$C$2:$AI$70</definedName>
    <definedName name="_xlnm.Print_Area" comment="" localSheetId="3">'Stage 2'!$B$2:$T$48</definedName>
    <definedName name="_xlnm.Print_Area" comment="" localSheetId="4">'Stage 3'!$B$2:$N$40</definedName>
    <definedName name="_xlnm.Print_Area" comment="" localSheetId="5">'Stage 4'!$B$2:$U$60</definedName>
    <definedName name="_xlnm.Print_Area" comment="" localSheetId="10">'Zero value Calc'!$B$2:$C$54</definedName>
    <definedName name="_xlnm.Print_Titles" comment="" localSheetId="13">'Data Tables'!$2:$2</definedName>
    <definedName name="Taunton" comment="">'Data Tables'!#REF!</definedName>
    <definedName name="Unknown" comment="">'Data Tables'!#REF!</definedName>
    <definedName name="w" comment="">'Data Tables'!$B$10:$B$24</definedName>
    <definedName name="Wastewater" comment="">'Data Tables'!$B$3:$B$86</definedName>
    <definedName name="WwTW" comment="">'Data Tables'!$B$10:$B$24</definedName>
    <definedName name="WwTWs" comment="">'Stage 1'!$E$40</definedName>
    <definedName name="Yes" comment="" localSheetId="11">'Graph Calculations'!#REF!</definedName>
    <definedName name="Yes" comment="" localSheetId="10">'Zero value Calc'!$I$29</definedName>
    <definedName name="Yes" comment="">'Stage 4'!#REF!</definedName>
  </definedNames>
  <calcPr fullPrecision="1" calcId="191028"/>
  <webPublishObjects count="1">
    <webPublishObject id="9817" divId="Norfolk budget Calc_V1.0_9817" destinationFile="C:\Users\305327\Documents\Environmental Services proposals\Norfolk Nutrients Opportunity\Calculator\Norfolk budget Calc_V1.0.htm" title="Norfolk Nutrient Calculator"/>
  </webPublishObject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tc={472742E2-21FE-4911-B5E0-F233D5403377}</author>
  </authors>
  <commentList>
    <comment ref="B84" authorId="0">
      <text/>
    </comment>
  </commentList>
</comments>
</file>

<file path=xl/sharedStrings.xml><?xml version="1.0" encoding="utf-8"?>
<sst xmlns="http://schemas.openxmlformats.org/spreadsheetml/2006/main" uniqueCount="624" count="2114">
  <si>
    <t>Introduction Tab</t>
  </si>
  <si>
    <t>River Wensum SAC &amp; Broads SAC Nutrient Budget Calculator V3.0</t>
  </si>
  <si>
    <t>Introduction</t>
  </si>
  <si>
    <t>Following the Dutch Nitrogen Case which ruled that where a site is failing to achieve condition due to pollution, the potential for a new development to add to the nutrient load is "necessarily limited". Special Areas of Conservation (SAC) sites are internationally important areas defined by the National Planning Policy Framework (NPPF) and given special protection under the European Union's Habitats Directive, which was transposed into UK law by the Habitats and Conservation of Species Regulations 2010. This was updated by the Conservation of Habitats and Species (Amendment)(EU Exit) Regulations 2019. As such, Natural England's view is that any development proposal that adds nutrients into the catchment of internationally important sites, such as the River Wensum SAC and the Broads SAC, is likely to have a significant effect. Proposed developments likely to affect European Sites should be subject to Habitats Regulations Assessment to assess the Likely Significant Affect on the SAC. Applications within the Wensum and Broads catchments will have a Likely Effect and will require an Appropriate Assessment (i.e. the nutrient calculator) to assess the implications of the proposal on the designated sites.</t>
  </si>
  <si>
    <t>A letter from Natural England (dated 16 March 2022) advised that new development within the catchment of these habitats comprising overnight accommodation can cause adverse impacts on nutrient pollution. Such development includes, but is not limited to:
- new homes 
- student accommodation 
- care homes
- tourism attractions
- tourist accommodation
- permitted development (which gives rise to new overnight accommodation) under the Town and Country Planning (General Permitted Development) (England) Order 2015
- any development not involving overnight accommodation but which may have non-sewerage water quality implications</t>
  </si>
  <si>
    <t xml:space="preserve">The River Wensum SAC catchment is subject to nutrient neutrality guidance regarding excessive phosphorus concentrations. Development within the catchment must be phosphorus (P) neutral, or deliver phosphorus mitigation to achieve neutrality. The mitigation should be upstream of where the nutrients will impact the designated site, which for developments draining to mains sewerage will be the point at which the effluent flows into the River Wensum Site of Special Scientific Interest (SSSI) and SAC. Dereham, Foulsham and Reepham wastewater treatment works all drain to a tributary of the River Wensum SAC and the mitigation should be delivered upstream of where the tributary meets the SAC. Developments using onsite package treatment plants will need to provide mitigation upstream of the development site. </t>
  </si>
  <si>
    <t xml:space="preserve">The Broads SAC is subject to nutrient neutrality regarding excessive phosphorus and nitrogen (N) mitigation. The Broads SAC can be split into the following SSSI component sites:
- Ant Broads and Marshes SSSI
- Upper Thurne Broad and Marshes SSSI
- Trinity Broads SSSI
- Yare Broads and Marshes SSSI
Each of the SSSI component sites has an independent catchment and mitigation must be delivered within the same catchment as the development. The Bure Broads and Marshes, Ant Broads and Marshes, Upper Thurne Broads and Marshes and Trinity Broads and Marshes are located within the River Bure operational catchment for the purposes of this calculator (Stage 2). The Yare Broads and Marshes is within the River Yare catchment and the upstream catchment also includes the entire River Wensum catchment, which has its confluence with the River Yare in Whitlingham. Therefore, a development in the Wensum catchment must provide P mitigation within the Wensum catchment and N mitigation within either the Wensum or Yare catchment.
A development site may be located in one surface water (e.g. Wensum) catchment but the wastewater discharge will be within a different surface water catchment (e.g. Yare).  </t>
  </si>
  <si>
    <t xml:space="preserve">This tool is designed to quantify the nutrient loading of an area of land subject to a change of land use and population, in order to identify is proposed developments will be 'nutrient neutral'. Where the proposed development will generate additional nutrients into the system, solutions in how to offset the excess nutrients and achieve neutrality are presented.  </t>
  </si>
  <si>
    <t xml:space="preserve">This tool is only necessary for proposed developments that have the potential to increase nutrient loading to rivers that flow into the River Wensum SAC and the Broads SAC. Where a site  drains to a Water Recycling Centre (WRC) outside of the catchment then Stage 1 then no likely significant effects can be determined. </t>
  </si>
  <si>
    <t>The methodology employed within this tool was, in part, guided by Natural England's advice on nutrient neutrality in relation to the Stodmarsh designated sites (published in November 2020) and the Natural England provided calculator (published May 2025).</t>
  </si>
  <si>
    <t>This tool consists of eight main worksheets:
Stage 1 - Identifies the additional nutrients as a result of changes in the population
Stage 2 - Calculates the nutrient load from current land use
Stage 3 - Calculates the nutrient load from future land uses
Stage 4 - Calculates the total change in nutrient loading as a result of the proposed development
Mitigation - current - Calculates the required solutions to achieve nutrient neutrality under AMP7 wastewater permit limits
Mitigation - post 2026 - Calculates the required solutions to achieve nutrient neutrality under early delivery of AMP8 wastewater permit limits
Mitigation - post 2030 - Calculates the required solutions to achieve nutrient neutrality under AMP8 wastewater permit limits
Mitigation land use comparison - Calculates the difference in mitigation solutions between current wastewater permit limits and post-2030 permit limits</t>
  </si>
  <si>
    <t>About</t>
  </si>
  <si>
    <t>This nutrient budget calculator is designed to allow the user to:
- Calculate the nutrient budget for a proposed development, and if, in its current form, the proposed development is nutrient neutral; and
- Assess the various mitigation options if the proposed development is not nutrient neutral.</t>
  </si>
  <si>
    <t>The tool has been designed so that the user is able to update the data and methods in light of any new research or understanding</t>
  </si>
  <si>
    <t xml:space="preserve">The information supplied in this tool is for guidance purposes only and is not intended to provide an exact budget calculation due to the limitations and assumptions of the model. The user is responsible for ensuring the accuracy and completeness of all data entered, be it manually or automatically, and used by this tool. The user is also responsible for any commercial decisions taken on any of the outputs of this tool.  </t>
  </si>
  <si>
    <t>Haskoning will not be liable for any of the following arising from the use of this tool (including from any negligence on the part of Haskoning):
(i) loss of anticipated profits or expected future business;
(ii) damage to reputation or goodwill;
(iii) damages, costs or expenses payable by the user to any third party;
(iv) loss of any order or contract; or
(v) indirect or consequential loss of any kind.</t>
  </si>
  <si>
    <t>This nutrient budget calculator has been developed by Royal HaskoningDHV on behalf of the combined Norfolk Local Planning Authorities</t>
  </si>
  <si>
    <t>Nutrient budget calculator, V3.0 (Released December 2025)</t>
  </si>
  <si>
    <t>General help</t>
  </si>
  <si>
    <t xml:space="preserve">The Tool uses the following colour coding to indicate the functionality to the user. These colours are: </t>
  </si>
  <si>
    <t>The user needs to input a value here</t>
  </si>
  <si>
    <t>This contains fixed or calculated values and the user does not need to input a value</t>
  </si>
  <si>
    <t>This cell contains values relevant under proposed 2030 permit limits which are only for guidance purposes</t>
  </si>
  <si>
    <t>Stage 1</t>
  </si>
  <si>
    <r>
      <t xml:space="preserve">This stage calculates the change in nutrient loading as a result of changes in the population of a site.
Step 1: The user should input the additional number of units that are proposed by the development. This is then multiplied by the occupancy rate per dwelling.
Step 2: This automatically calculates the wastewater volume for the development.
Step 3: The user has the option to select whether sewage from the proposed development will be handled by water recycling centres or by Onsite treatment plants. The user must select one or the other, both options cannot be used. 
Step 3a: If the proposed development is to use </t>
    </r>
    <r>
      <rPr>
        <b/>
        <sz val="12"/>
        <color rgb="FF000000"/>
        <rFont val="Calibri"/>
        <family val="2"/>
        <charset val="0"/>
        <scheme val="minor"/>
      </rPr>
      <t>WRC</t>
    </r>
    <r>
      <rPr>
        <sz val="12"/>
        <color rgb="FF000000"/>
        <rFont val="Calibri"/>
        <family val="2"/>
        <charset val="0"/>
        <scheme val="minor"/>
      </rPr>
      <t>, then the user should select 'Yes' from the drop down box. Following this, the user should select the WRC that the development will connect to. This will select the discharge concentration from the chosen WRC.
Step 3b: If the proposed development is to use</t>
    </r>
    <r>
      <rPr>
        <b/>
        <sz val="12"/>
        <color rgb="FF000000"/>
        <rFont val="Calibri"/>
        <family val="2"/>
        <charset val="0"/>
        <scheme val="minor"/>
      </rPr>
      <t xml:space="preserve"> Onsite treatment plants</t>
    </r>
    <r>
      <rPr>
        <sz val="12"/>
        <color rgb="FF000000"/>
        <rFont val="Calibri"/>
        <family val="2"/>
        <charset val="0"/>
        <scheme val="minor"/>
      </rPr>
      <t>, then the user should select 'Yes' from the drop down box. Following this, the user should input the final effluent quality of the onsite treatment plant. If the efficiency is unknown then the user should input a precautionary default values. Higher removal rates can be achieved through Package Treatment Plants (PTPs) but these will typically require additional phosphate reduction such as chemical dosing that standard PTPs may not include.   
Step 4: This automatically calculates the Total Phosphorus (TP) and Total Nitrogen (TN) loading from wastewater</t>
    </r>
  </si>
  <si>
    <t>Stage 2</t>
  </si>
  <si>
    <r>
      <t>This stage calculates the nutrient load from the current land use.
Step 1: The user should select the appropriate catchment, drainage type, rainfall band and NVZ.
Step 2: The user should input the area (hectares) of the current land uses that make up the total area of the development site. A GIS viewer can be used to identify the land uses on a coarse scale (</t>
    </r>
    <r>
      <rPr>
        <b/>
        <sz val="12"/>
        <color theme="1"/>
        <rFont val="Calibri"/>
        <family val="2"/>
        <charset val="0"/>
        <scheme val="minor"/>
      </rPr>
      <t>https://gridreferencefinder.com/</t>
    </r>
    <r>
      <rPr>
        <sz val="12"/>
        <color theme="1"/>
        <rFont val="Calibri"/>
        <family val="2"/>
        <charset val="0"/>
        <scheme val="minor"/>
      </rPr>
      <t>). However, if more detail is known about the site land uses then this should be manually inputted by the user.</t>
    </r>
  </si>
  <si>
    <t>Stage 3</t>
  </si>
  <si>
    <t>This stage calculates the nutrient load from the future land use.
Step 1: The user should input the proposed land uses that make up the total area of the development site. Any pre-determined on-site mitigation should also be inputted here.
Bespoke banking coefficients should be inputted for constructed wetland that can be evidenced</t>
  </si>
  <si>
    <t>Stage 4</t>
  </si>
  <si>
    <t xml:space="preserve">This stage provides a summary of the nutrient loads calculated in stages 1-3 and presents the nutrient budget for the proposed development.
A 20% precautionary buffer is included to account for uncertainties in the runoff coefficients used.
</t>
  </si>
  <si>
    <t>Mitigation - Current</t>
  </si>
  <si>
    <t>This stage calculates the area and land uses of the mitigation site required for the proposed development to be nutrient neutral, under current WRC permit limits.
Step 1: The nutrient budget to be mitigated will be automatically shown
Step 2: The user should either select 'Yes' for on-site mitigation (step 2a) or 'Yes' off-site mitigation (step 2b). For on-site mitigation, the user should select the land use which the mitigation land will be replacing. Where the exact land use type is unknonw, an average value can be used.  For off-site moitigation, the catchment, soil drainage type, rainfall band and NVZ should be selected for the mitigation land and the most appririate land use(s) selected.
Step 3: This will automatically show the area required for mitigation to achieve neutrality for each land use type.
Step 4: The user has the option to select the amount of nutrient load to be offset by the various land uses, which will then calculate the relevant area of land (Hectares) that needs to be changed.
Step 5: The user has the option to input the required area of land (hectares) to be mitigated until the project is nutrient neutral, which will then calculate the equivalent nutrient load for each land use.
The banking coefficients for wetlands uses a value for guidance purposes only. A site bespoke site-specific value will need to be calculated.</t>
  </si>
  <si>
    <t>Mitigation - post 2026</t>
  </si>
  <si>
    <t>This stage calculates the area and land uses of the mitigation site required for the proposed development to be nutrient neutral, under post-2026 WRC permit limits. This only applies to TP. The steps are the same as 'Mitigation - current'.</t>
  </si>
  <si>
    <t>Mitigation - post 2030</t>
  </si>
  <si>
    <t>This stage calculates the area and land uses of the mitigation site required for the proposed development to be nutrient neutral, under post-2026 WRC permit limits. The steps are the same as 'Mitigation - current'.</t>
  </si>
  <si>
    <t>Mitigation comparison</t>
  </si>
  <si>
    <t>This stage provides a summary in the differences in mitigation land use area between the current WRC permit limits and the post-2030 WRC permit limits.</t>
  </si>
  <si>
    <t>Land Use Definitions</t>
  </si>
  <si>
    <t>The land uses presented in this tool followed the CORINE 2018 land use data. Definitions of key land uses are presented below:</t>
  </si>
  <si>
    <t>Land Use</t>
  </si>
  <si>
    <t>Description</t>
  </si>
  <si>
    <t>High density residential</t>
  </si>
  <si>
    <t xml:space="preserve">Areas of houses and associated infrastructure. This is inclusive of roads, driveways, grass verges and gardens. 
High density often applies to urban cores. High density residential developments will typically have greater than 50 units per hectare. </t>
  </si>
  <si>
    <t>Medium density residential</t>
  </si>
  <si>
    <t xml:space="preserve">Medium density residential would apply to larger towns whereby there is a high percentage of development but situated outside of core cities. Medium density residential developments will typically have between 25 -50 units per hectare. </t>
  </si>
  <si>
    <t>Low density residential</t>
  </si>
  <si>
    <t xml:space="preserve">Rural communities are classed under low density residential land. Low density residential developments will typically have less than 25 units per hectare. </t>
  </si>
  <si>
    <t>Commercial / industrial</t>
  </si>
  <si>
    <t>Land used for commercial establishments (the primary purpose of buying, selling or trading of merchandise or services including, without limitation, shopping malls, office complexes, restaurants, hotels, motels, grocery stores, automobile service stations, petroleum distribution operations, dry cleaning operations, municipal yards, warehouses, law courts, museums, churches, golf courses, government offices, air and sea terminals, bus and railway stations, and storage associated with these uses) , manufacturing plants, public utilities, mining, distribution of goods or services, administration of business activities, research and development facilities, warehousing, shipping, transporting, remanufacturing, stockpiling of raw materials, storage, repair and maintenance of commercial machinery or equipment, and waste management.</t>
  </si>
  <si>
    <t>Urban open space</t>
  </si>
  <si>
    <t>Area of land in urban areas used for various purposes, e.g. leisure and recreation - may include open land, e.g. sports fields, playgrounds, public squares or built facilities such as sports centres.</t>
  </si>
  <si>
    <t>Allotment and City farms</t>
  </si>
  <si>
    <t xml:space="preserve">Wholly or mainly cultivated for the production of vegetable or fruit crops for consumption by the tenant or local community. In some cases the land will also be used for ornamental plants and the keeping of hens or bees.  </t>
  </si>
  <si>
    <t>Dairy</t>
  </si>
  <si>
    <t xml:space="preserve">Holdings on which dairy cows account for more than two thirds of their total standard output.  </t>
  </si>
  <si>
    <t>Cereals</t>
  </si>
  <si>
    <t>Agricultural areas on which cereals, combinable crops and set aside are farmed.</t>
  </si>
  <si>
    <t>Horticulture</t>
  </si>
  <si>
    <t>Holdings on which fruit (including vineyards), hardy nursery stock, glasshouse flowers and vegetables, market garden scale vegetables, outdoor blubs and flowers and mushrooms account for more than two thirds of their total standard output.</t>
  </si>
  <si>
    <t>Pig Farming</t>
  </si>
  <si>
    <t xml:space="preserve">Holdings on which pigs account for more than two thirds of their total standard output. </t>
  </si>
  <si>
    <t>LFA</t>
  </si>
  <si>
    <t>Holdings on which cattle, sheep and other grazing livestock account for more than two thirds of their total standard output except holdings classified as diary. A holding is classified as LFA if more than 50% of its total area is in the Less Favoured Area (LFA).</t>
  </si>
  <si>
    <t>Lowland grazing</t>
  </si>
  <si>
    <t>Holdings on which cattle, sheep and other grazing livestock account for more than two thirds of their total standard output except holdings classified as diary. A holding is classified as lowland if less than 50% of its total area is in the Less Favoured Area (LFA). A paddock is classified as a small enclosures used for grazing horses.</t>
  </si>
  <si>
    <t>Mixed</t>
  </si>
  <si>
    <t>Holdings for which none of the other categories account for more than two thirds of total standard output.</t>
  </si>
  <si>
    <t>Poultry farming</t>
  </si>
  <si>
    <t xml:space="preserve">Holdings on which poultry account for more than two thirds of their total standard output. </t>
  </si>
  <si>
    <t>General Arable</t>
  </si>
  <si>
    <t>Agricultural areas on which arable crops (including field scale vegetables) are farmed.</t>
  </si>
  <si>
    <t>Greenspace</t>
  </si>
  <si>
    <t>Natural and semi-natural outdoor spaces provided for recreational use where fertilisers will not be applied and dog waste is managed, e.g. semi-natural parks. This does not include green infrastructure within the built urban environment as this is included in the urban categories.</t>
  </si>
  <si>
    <t>Woodland</t>
  </si>
  <si>
    <t>Tree-covered areas which either arose naturally or as a result of plantations. This includes conifer woodland, mixed woodlands and broad-leaved woodlands etc.</t>
  </si>
  <si>
    <t>shrub / heathland / bracken / bog</t>
  </si>
  <si>
    <t>Land that contains extensive areas of either shrubs, heath or bracken. A bog refers to land that is a wetland area of muddy ground that can accumulate peat.</t>
  </si>
  <si>
    <t>Water</t>
  </si>
  <si>
    <t>Areas of surface water, including rivers, ponds and lakes.</t>
  </si>
  <si>
    <t>Meadow / semi natural grassland</t>
  </si>
  <si>
    <t>A meadow is a field habitat vegetated by grass and other non-woody plant that has an open character and is not grazed by livestock</t>
  </si>
  <si>
    <t>Wetland</t>
  </si>
  <si>
    <t>Land use specific to constructed wetland only and does not include ponds or SuDS.</t>
  </si>
  <si>
    <t>Water Recycling Centre Permit Limits</t>
  </si>
  <si>
    <t>WRC permit limits</t>
  </si>
  <si>
    <t xml:space="preserve">Improvements to wastewater treatment works under the Water Industry National Environment Programme (WINEP) have been confirmed for the Asset Management Plan 8 cycle (AMP8). These legally required improvements cover the period up to 2030. The improvements include improvements required under the Levelling Up and Regenration Act (LURA) which placed a statuatory obligation on water companies to achieve the Technically Achievable Limit (TAL) at specified treatment works. The TAL for TP and TN is 0.25mg/l and 10mg/l, respectively. The WINEP position is settled and the improvements are now secured as part of Anglian Water's business plan. Improvements at Dereham and Wymondham have a statuatory deadline of the 31/03/2026, whereas other improvements will be delivered by the 31/03/2030. AMP7 (2020-2025) improvements have been delivered and are included in the calculator. </t>
  </si>
  <si>
    <t>Water Recycling centres</t>
  </si>
  <si>
    <t>Current TP discharge concentration (mg/l)</t>
  </si>
  <si>
    <t>Post-2026 TP discharge concentration (mg/l)</t>
  </si>
  <si>
    <t>Post-2030 TP pdischarge concentration (mg/l)</t>
  </si>
  <si>
    <t>Post-2030 TN discharge concentration (mg/l)</t>
  </si>
  <si>
    <t>Aldborough Water Recycling Centre</t>
  </si>
  <si>
    <t>Ashmanaugh</t>
  </si>
  <si>
    <t>Ashwellthorpe Water Recycling Centre</t>
  </si>
  <si>
    <t>Aylsham Water Recycling Centre</t>
  </si>
  <si>
    <t>Barford Water Recycling Centre</t>
  </si>
  <si>
    <t>Barnham Broom Water Recycling Centre</t>
  </si>
  <si>
    <t>Barton Turf</t>
  </si>
  <si>
    <t>Belaugh Water Recycling Centre</t>
  </si>
  <si>
    <t>Billingford STW</t>
  </si>
  <si>
    <t>Bircham Newton (Monks Close) WRC</t>
  </si>
  <si>
    <t>Brisley</t>
  </si>
  <si>
    <t>Briston Water Recycling Centre</t>
  </si>
  <si>
    <t>Bunwell STW</t>
  </si>
  <si>
    <t>Bylaugh Water Recycling Centre</t>
  </si>
  <si>
    <t>Carleton Rode Church Road</t>
  </si>
  <si>
    <t>Carleton Rode STW</t>
  </si>
  <si>
    <t>Coltishall STW</t>
  </si>
  <si>
    <t>Corpusty STW</t>
  </si>
  <si>
    <t>Cranworth STW</t>
  </si>
  <si>
    <t>Deopham STW</t>
  </si>
  <si>
    <t>Dereham WRC</t>
  </si>
  <si>
    <t>East Bilney STW</t>
  </si>
  <si>
    <t>East Carleton - Wymondham Road STW</t>
  </si>
  <si>
    <t>East Ruston STW</t>
  </si>
  <si>
    <t>Fakenham (Old And New) WRC</t>
  </si>
  <si>
    <t>Felmingham Water Recycling Centre</t>
  </si>
  <si>
    <t>Forncett End STW</t>
  </si>
  <si>
    <t>Forncett St. Peter STW</t>
  </si>
  <si>
    <t>Foulsham Water Recycling Centre</t>
  </si>
  <si>
    <t>Fritton School Lane STW</t>
  </si>
  <si>
    <t>Fundenhall STW</t>
  </si>
  <si>
    <t>Garvestone Reymerston Road STW</t>
  </si>
  <si>
    <t>Garvestone, Dereham Road</t>
  </si>
  <si>
    <t>Gateley STW</t>
  </si>
  <si>
    <t>Great Melton STW</t>
  </si>
  <si>
    <t>Gresham STW</t>
  </si>
  <si>
    <t>Hardwick STW</t>
  </si>
  <si>
    <t>Hempnall Water Recycling Centre</t>
  </si>
  <si>
    <t>Hempnell - Silver Green STW</t>
  </si>
  <si>
    <t>Hindolveston Church Lane</t>
  </si>
  <si>
    <t>Hindolveston STW</t>
  </si>
  <si>
    <t>Hockering STW</t>
  </si>
  <si>
    <t>Horningtoft</t>
  </si>
  <si>
    <t>Horsey - Bensleys Close STW</t>
  </si>
  <si>
    <t>Honing STW</t>
  </si>
  <si>
    <t>Little Fransham Crown Lane STW</t>
  </si>
  <si>
    <t>Little Fransham Glebe STW</t>
  </si>
  <si>
    <t>Long Stratton WRC</t>
  </si>
  <si>
    <t>Mattishall STW</t>
  </si>
  <si>
    <t>North Elmham STW</t>
  </si>
  <si>
    <t>North Tuddenham STW</t>
  </si>
  <si>
    <t>Rackheath Water Recycling Centre</t>
  </si>
  <si>
    <t>Reepham Water Recycling Centre</t>
  </si>
  <si>
    <t>Ridlington(Norfolk) STW</t>
  </si>
  <si>
    <t>Roughton Water Recycling Centre</t>
  </si>
  <si>
    <t>Saxlingham STW</t>
  </si>
  <si>
    <t>Spooner Row School Lane STW</t>
  </si>
  <si>
    <t>Sculthorpe STW</t>
  </si>
  <si>
    <t>Shipdham STW</t>
  </si>
  <si>
    <t>Shotesham The Grove STW</t>
  </si>
  <si>
    <t>Skeyton STW</t>
  </si>
  <si>
    <t>Sloley STW</t>
  </si>
  <si>
    <t>Smallburgh STW</t>
  </si>
  <si>
    <t>South Raynham</t>
  </si>
  <si>
    <t>Southrepps STW</t>
  </si>
  <si>
    <t>Sparham Norwich Road WRC</t>
  </si>
  <si>
    <t>Sparham(Wells Close)</t>
  </si>
  <si>
    <t>Stalham Water Recycling Centre</t>
  </si>
  <si>
    <t>Stanfield STW</t>
  </si>
  <si>
    <t>Stibbard Moor End STW</t>
  </si>
  <si>
    <t>Stoke Holy Cross STW</t>
  </si>
  <si>
    <t>Swanton Abbott STW</t>
  </si>
  <si>
    <t>Swanton Morley Water Recycling Centre</t>
  </si>
  <si>
    <t>Swanton Novers STW</t>
  </si>
  <si>
    <t>Swardeston STW</t>
  </si>
  <si>
    <t>Tibenham The Street STW</t>
  </si>
  <si>
    <t>Weasenham All Saints STW</t>
  </si>
  <si>
    <t>Weasenham St.Peter STW</t>
  </si>
  <si>
    <t>Wendling STW</t>
  </si>
  <si>
    <t>West Raynham STW</t>
  </si>
  <si>
    <t>Whinburgh</t>
  </si>
  <si>
    <t>Whitlingham Water Recycling Centre</t>
  </si>
  <si>
    <t>Wymondham Water Recycling Centre</t>
  </si>
  <si>
    <t>Soil Drainage Criteria</t>
  </si>
  <si>
    <t>The drainage characteristics of soil has a control over the dominant flow pathways for pollutant losses and as such controls the loading of Phosphate into surface water bodies. Therefore the runoff coefficients from various land uses are different in freely draining soil compared to impermeable soil. For impermeable soil under Arable land use, it is assumed that man made drainage systems would be in place, whereas rough grazing and woodland areas would not be drained. For free-draining soil, the majority of the flow would be to groundwater, and it is assumed that drainage would not be required.</t>
  </si>
  <si>
    <t>a) The user should use the Soilscapes tool (Cranfield soil and Agrifood institute, 2020) to determine the dominant soil type on their site. Soilscapes can be found at http://www.landis.org.uk/soilscapes/index.cfm</t>
  </si>
  <si>
    <t>b) Zoom into the development site on the map</t>
  </si>
  <si>
    <t>c) Once the area has been located, click on the map where the development is located to find out the ID number and name of the soil type.</t>
  </si>
  <si>
    <t>d) Make note of this and determine the drainage type using the below table</t>
  </si>
  <si>
    <t>The following table is used to identify the dominant drainage type of the proposed development from the soil type identified above. The drainage type should then inform Stage 2 of the calculator.</t>
  </si>
  <si>
    <t>Free draining</t>
  </si>
  <si>
    <t>Impermeable - drained for arable</t>
  </si>
  <si>
    <t>Impermeable - drained for arable &amp; grassland</t>
  </si>
  <si>
    <t>Colour</t>
  </si>
  <si>
    <t>ID</t>
  </si>
  <si>
    <t>Name</t>
  </si>
  <si>
    <t>colour</t>
  </si>
  <si>
    <t xml:space="preserve">	Shallow lime-rich soils over chalk or limestone</t>
  </si>
  <si>
    <t>Saltmarsh soils</t>
  </si>
  <si>
    <t>Slowly permeable seasonally wet acid loamy and clayey soils</t>
  </si>
  <si>
    <t>Sand dune soils</t>
  </si>
  <si>
    <t>Shallow very acid peaty soils over rock</t>
  </si>
  <si>
    <t>Slowly permeable seasonally wet slightly acid but base-rich loamy and clayey soils</t>
  </si>
  <si>
    <t xml:space="preserve">	Freely draining lime-rich loamy soils</t>
  </si>
  <si>
    <t>Slightly acid loamy and clayey soils with impeded drainage</t>
  </si>
  <si>
    <t>Slowly permeable wet very acid upland soils with a peaty surface</t>
  </si>
  <si>
    <t>Freely draining slightly acid loamy soils</t>
  </si>
  <si>
    <t>Lime-rich loamy and clayey soils with impeded drainage</t>
  </si>
  <si>
    <t>Freely draining slightly acid but base-rich soils</t>
  </si>
  <si>
    <t>Naturally wet very acid sandy and loamy soils</t>
  </si>
  <si>
    <t>Freely draining slightly acid sandy soils</t>
  </si>
  <si>
    <t xml:space="preserve">	Very acid loamy upland soils with a wet peaty surface</t>
  </si>
  <si>
    <t xml:space="preserve">	Freely draining sandy Breckland soils</t>
  </si>
  <si>
    <t>Loamy and clayey floodplain soils with naturally high groundwater</t>
  </si>
  <si>
    <t>Freely draining floodplain soils</t>
  </si>
  <si>
    <t>Loamy and clayey soils of coastal flats with naturally high groundwater</t>
  </si>
  <si>
    <t>Freely draining acid loamy soils over rock</t>
  </si>
  <si>
    <t>Loamy soils with naturally high groundwater</t>
  </si>
  <si>
    <t>Freely draining very acid sandy and loamy soils</t>
  </si>
  <si>
    <t>Loamy and sandy soils with naturally high groundwater and a peaty surface</t>
  </si>
  <si>
    <t xml:space="preserve">	Restored soils mostly from quarry and opencast spoil</t>
  </si>
  <si>
    <t>Blanket bog peat soils</t>
  </si>
  <si>
    <t>Raised bog peat soils</t>
  </si>
  <si>
    <t xml:space="preserve">	Fen peat soils</t>
  </si>
  <si>
    <t>Finding the operational catchment</t>
  </si>
  <si>
    <t>a) Go to this link:  https://environment.data.gov.uk/catchment-planning/ManagementCatchment/3008</t>
  </si>
  <si>
    <t>b) This will give a high-level view of operational catchments Use the zoom feature to find the exact location of the development.</t>
  </si>
  <si>
    <t>c) Click on the light blue area on the map in which the development is located. This will inform the user of the operational catchment name</t>
  </si>
  <si>
    <t>d) Make note of the name of the Operational Catchment and select it from the dropdown list in the relevant cell.</t>
  </si>
  <si>
    <t>Finding out whether the development is in a Nitrate Vulnerable Zone (NVZ):</t>
  </si>
  <si>
    <t>a) Go to this link: https://mapapps2.bgs.ac.uk/ukso/home.html?layers=NVZEng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</si>
  <si>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</si>
  <si>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</si>
  <si>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</si>
  <si>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r>
      <t>Haskoning UK Ltd., a company of</t>
    </r>
    <r>
      <rPr>
        <b/>
        <sz val="12"/>
        <color rgb="FF000000"/>
        <rFont val="Calibri"/>
        <family val="2"/>
        <charset val="0"/>
        <scheme val="minor"/>
      </rPr>
      <t xml:space="preserve"> </t>
    </r>
    <r>
      <rPr>
        <sz val="12"/>
        <color rgb="FF000000"/>
        <rFont val="Calibri"/>
        <family val="2"/>
        <charset val="0"/>
        <scheme val="minor"/>
      </rPr>
      <t>Haskoning
Westpoint, Lynch Wood Business Park,
Peterborough PE2 6FZ
Registered in England 1336844
W: www.royalhaskoningdhv.com</t>
    </r>
  </si>
  <si>
    <t>Information tab</t>
  </si>
  <si>
    <t>Planning Application Reference No.</t>
  </si>
  <si>
    <t>Site address:</t>
  </si>
  <si>
    <t>Site proposal:</t>
  </si>
  <si>
    <t xml:space="preserve"> </t>
  </si>
  <si>
    <t xml:space="preserve">Date: </t>
  </si>
  <si>
    <t>Additional information:</t>
  </si>
  <si>
    <r>
      <t/>
    </r>
    <r>
      <rPr>
        <b/>
        <sz val="12"/>
        <color rgb="FF000000"/>
        <rFont val="Calibri"/>
        <family val="2"/>
        <charset val="0"/>
        <scheme val="minor"/>
      </rPr>
      <t>Stage 1</t>
    </r>
    <r>
      <rPr>
        <sz val="12"/>
        <color rgb="FF000000"/>
        <rFont val="Calibri"/>
        <family val="2"/>
        <charset val="0"/>
        <scheme val="minor"/>
      </rPr>
      <t xml:space="preserve"> </t>
    </r>
  </si>
  <si>
    <t>Calculate nutrient load (Kg/year) derived from the development as a result of increased population</t>
  </si>
  <si>
    <r>
      <t xml:space="preserve">Note: This calculation should only include the </t>
    </r>
    <r>
      <rPr>
        <b/>
        <i/>
        <sz val="12"/>
        <color rgb="FF000000"/>
        <rFont val="Calibri"/>
        <family val="2"/>
        <charset val="0"/>
        <scheme val="minor"/>
      </rPr>
      <t>additional</t>
    </r>
    <r>
      <rPr>
        <i/>
        <sz val="12"/>
        <color rgb="FF000000"/>
        <rFont val="Calibri"/>
        <family val="2"/>
        <charset val="0"/>
        <scheme val="minor"/>
      </rPr>
      <t xml:space="preserve"> units resulting from the proposed development, including any development that will result in overnight accommodation. For land not currently in residential use, this will be the total units proposed by the development. However, for land already in residential use, this should only be the increase in units.
The user should input the relevant number of dwellings into options a, b or c below. In the case of residential developments, only option a is required. </t>
    </r>
  </si>
  <si>
    <t>1.</t>
  </si>
  <si>
    <t>Calculate the additional population</t>
  </si>
  <si>
    <t>Value</t>
  </si>
  <si>
    <t>Unit</t>
  </si>
  <si>
    <t>a</t>
  </si>
  <si>
    <t>Number of dwellings proposed</t>
  </si>
  <si>
    <t>dwellings</t>
  </si>
  <si>
    <t>Average occupancy</t>
  </si>
  <si>
    <t>persons/dwelling</t>
  </si>
  <si>
    <t>b</t>
  </si>
  <si>
    <r>
      <t xml:space="preserve">Number of </t>
    </r>
    <r>
      <rPr>
        <b/>
        <sz val="12"/>
        <color rgb="FF000000"/>
        <rFont val="Calibri"/>
        <family val="2"/>
        <charset val="0"/>
        <scheme val="minor"/>
      </rPr>
      <t>additional</t>
    </r>
    <r>
      <rPr>
        <sz val="12"/>
        <color rgb="FF000000"/>
        <rFont val="Calibri"/>
        <family val="2"/>
        <charset val="0"/>
        <scheme val="minor"/>
      </rPr>
      <t xml:space="preserve"> rooms above 6 residents (sui generis) for houses in multiple occupation</t>
    </r>
  </si>
  <si>
    <t>c</t>
  </si>
  <si>
    <t>Number of rooms in a hotel or guest house proposed</t>
  </si>
  <si>
    <t>Number of weeks open per year (1-52)</t>
  </si>
  <si>
    <t>Weeks</t>
  </si>
  <si>
    <t>Average occupancy rate (1-100)</t>
  </si>
  <si>
    <t>%</t>
  </si>
  <si>
    <t>d</t>
  </si>
  <si>
    <t>Number of bedspaces in student accommodation</t>
  </si>
  <si>
    <t>Total population increase generated by the development</t>
  </si>
  <si>
    <t>Persons</t>
  </si>
  <si>
    <t>2.</t>
  </si>
  <si>
    <t>Wastewater volume generated</t>
  </si>
  <si>
    <t>Water use per person</t>
  </si>
  <si>
    <t>Litres/person/day</t>
  </si>
  <si>
    <t>Wastewater volume generated by the development</t>
  </si>
  <si>
    <t>Litres/day</t>
  </si>
  <si>
    <t>Please select how the sewage from the proposed development will be handled, noting that a development must be handled by either a water recycling centre or onsite treatment plants, and cannot be handled by both. Consideration of wastewater loading is not required where a site drains to a WRC that does not drain in to the River Wensum or the Broads catchments</t>
  </si>
  <si>
    <t>Is sewage to be handled by water recycling centre?</t>
  </si>
  <si>
    <t>Yes</t>
  </si>
  <si>
    <t>Is sewage to be handled by Onsite treatment plants?</t>
  </si>
  <si>
    <t>No</t>
  </si>
  <si>
    <t>3a.</t>
  </si>
  <si>
    <t>TP budget that would exit the Water Recycling Centre (WRC) after treatment</t>
  </si>
  <si>
    <t>3b.</t>
  </si>
  <si>
    <t>TP budget for Onsite treatment plants</t>
  </si>
  <si>
    <t>Note: If the sewage is to be treated by WRCs then the user should select "Yes" in the list above. If package treatment plants are to be used instead, then the user should select "No" above. 
This is the process of collecting wastewater from houses and guiding it, via the sewage network, to a WRC (also known as sewage works). The nutrient concentration of the influent is calculated by multiplying the number of people by the expected water usage per day. The nutrient concentration within the effluent is calculated by applying the discharge level of the appropriate WRC. The nutrient loading is expressed in kg/year.</t>
  </si>
  <si>
    <t>Note: If the sewage is to be treated by on-site treatment plants then the user should select "Yes" in the list above. If wastewater treatment works are to be used instead, then the user should select "No" above. 
On-site treatment plants are pre-manufactured treatment facilities used to treat wastewater in smaller communities or on individual properties. This concept is defined as decentralized wastewater treatment. The nutrient influent is calculated by multiplying the number of people by the expected loading per person. The nutrient effluent is calculated by applying the reduction efficiency. The nutrient loading is expressed in kg/year.</t>
  </si>
  <si>
    <t>Confirm receiving WRC and discharge level</t>
  </si>
  <si>
    <t>Calculate nutrient load after treatment</t>
  </si>
  <si>
    <t>Select the WRC the development will connect to</t>
  </si>
  <si>
    <t>Select the type of On-site treatment works</t>
  </si>
  <si>
    <t>Package treatment plant (user-defined)</t>
  </si>
  <si>
    <t>Current discharge</t>
  </si>
  <si>
    <t>Post 2030 discharge</t>
  </si>
  <si>
    <t>Phosphorus WRC discharge level</t>
  </si>
  <si>
    <t>mg/l</t>
  </si>
  <si>
    <t>Phosphorus discharge level</t>
  </si>
  <si>
    <t>Nitrogen WRC discharge level</t>
  </si>
  <si>
    <t>Nitrogen discharge level</t>
  </si>
  <si>
    <t>Note: Please use the drop down lists to select the WRC that the proposed development will be connected to. If the WRC is not known, then please select 'Unknown' from the drop down list.  
The 2030 permit limits are included for guidance purposes only and cannot be relied upon until the Levelling Up and Regeneration Bill is passed into legislation.</t>
  </si>
  <si>
    <t>Note: The user must input the reduction efficiency of the PTP. The efficiency of the PTP used must be evidenced. The evidence should include the test result documents from the lab (in English) and/ or measured effluent concentrations from real world applications. If the efficiency is unknown then a precautionary default value can be used</t>
  </si>
  <si>
    <t>Calculate the nutrient load discharged by the WRC</t>
  </si>
  <si>
    <t>Calculate loading from wastewater with onsite treatment plants</t>
  </si>
  <si>
    <t>TP discharged by WRC</t>
  </si>
  <si>
    <t>kg/year</t>
  </si>
  <si>
    <t>TP discharged by on-site treatment plant</t>
  </si>
  <si>
    <t>TN discharged by WRC</t>
  </si>
  <si>
    <t>TN discharged by on-site treatment plant</t>
  </si>
  <si>
    <t>4.</t>
  </si>
  <si>
    <t>Additional population load</t>
  </si>
  <si>
    <t>Current</t>
  </si>
  <si>
    <t>Post 2030</t>
  </si>
  <si>
    <t>TP load from additional population</t>
  </si>
  <si>
    <t>Kg/year</t>
  </si>
  <si>
    <t>TN load from additional population</t>
  </si>
  <si>
    <t>Calculate existing (pre-development) nutrient load from current land use of the development</t>
  </si>
  <si>
    <t>Note: Where development sites include existing areas that are to be retained, these areas can be excluded from the calculations in both Stages 2 and 3.</t>
  </si>
  <si>
    <t>Identify current land uses of the development site</t>
  </si>
  <si>
    <t>The user should select the value from the following drop-down list that applies to the development. Use the links below or navigate to the 'Introduction' tab to find instructions on how this information can be acquired.</t>
  </si>
  <si>
    <t>Select the Catchment</t>
  </si>
  <si>
    <t>Wensum</t>
  </si>
  <si>
    <t>Select the soil drainage type</t>
  </si>
  <si>
    <t>Freely draining</t>
  </si>
  <si>
    <t>Select annual average rainfall band</t>
  </si>
  <si>
    <t>550-575</t>
  </si>
  <si>
    <t>mm/yr</t>
  </si>
  <si>
    <t>Within Nitrate Vulnerable Zone (NVZ)</t>
  </si>
  <si>
    <t>Note: Use the Link in the introduction tab to find the appropriate catchment</t>
  </si>
  <si>
    <t>Note: Use the criteria table in the introduction tab to identify if the soil type</t>
  </si>
  <si>
    <t>Note: Rainfall can be identified using the map on the Rainfall tab</t>
  </si>
  <si>
    <t>Note: Use the Link in the introduction tab to find out whether the development is in a Nitrate Vulnerable Zone (NVZ)</t>
  </si>
  <si>
    <t>Input the area of the existing land use type(s)</t>
  </si>
  <si>
    <t>TP loading</t>
  </si>
  <si>
    <t>TN loading</t>
  </si>
  <si>
    <t>Hectares</t>
  </si>
  <si>
    <t>Kg/yr</t>
  </si>
  <si>
    <t>Poultry</t>
  </si>
  <si>
    <t>Pigs</t>
  </si>
  <si>
    <t>General arable</t>
  </si>
  <si>
    <t>Woodland (e.g. conifer, mixed, broad-leaved)</t>
  </si>
  <si>
    <t>Shrub / heathland / bracken / bog</t>
  </si>
  <si>
    <t>Sum total</t>
  </si>
  <si>
    <t>3.</t>
  </si>
  <si>
    <t>Calculate loading from current land usage</t>
  </si>
  <si>
    <t>TP load from proposed land usage</t>
  </si>
  <si>
    <t>TN load from proposed land usage</t>
  </si>
  <si>
    <t>Calculate nutrient load for the proposed development</t>
  </si>
  <si>
    <t>Note: This section should include all land uses within the proposed development. Where the proposed scheme is to create new wetlands, woodlands, nature reserves, etc. within the development site area, then this should be included within this section. Any offsite mitigation should not be included below, and should instead be inputted in the mitigation stages (if mitigation is required).</t>
  </si>
  <si>
    <t>Identify proposed land uses of the development site</t>
  </si>
  <si>
    <t>High intensity urban land</t>
  </si>
  <si>
    <t>Medium intensity urban land</t>
  </si>
  <si>
    <t>Low intensity urban land</t>
  </si>
  <si>
    <t>Commercial / Industrial</t>
  </si>
  <si>
    <t>Open urban space</t>
  </si>
  <si>
    <t>Allotments and city farms</t>
  </si>
  <si>
    <t>Green space</t>
  </si>
  <si>
    <t>Designed Wetlands / SuDS</t>
  </si>
  <si>
    <t>Wetland / SuDS area</t>
  </si>
  <si>
    <t>TP Banking coefficient</t>
  </si>
  <si>
    <t>kg/ha/year</t>
  </si>
  <si>
    <t>TN Banking coefficient</t>
  </si>
  <si>
    <t>Note: Please input the banking coefficient (i.e. the nutrient removal amount in kg/ha/yr) calculated for the designed wetland / SuDS. The calculated value should be justifiable with supporting evidence.</t>
  </si>
  <si>
    <t>Sum total of land uses</t>
  </si>
  <si>
    <t>Note: The sum total of land uses must equal the development site area inputted in Stage 2 - the box will colour red if the areas do not match. Wetland refers to specific wetland related to a watercourse. For more information, please refer to the land use definitions in the help tab.</t>
  </si>
  <si>
    <t>Calculate loading from proposed land usage</t>
  </si>
  <si>
    <t>Calculate the net change in nutrient load from the proposed development</t>
  </si>
  <si>
    <t xml:space="preserve">Note: This stage calculates the net change in TP and TN load to the catchment from the proposed development. This is derived by calculating the difference between the load calculated for the proposed development (wastewater, urban area, open space, etc.) and that for the existing land uses. The nutrient budget for the site has been calculated under current and post-2025 WRC permit levels, where applicable. The nutrient budgets under proposed Post 2030 permit limits are for guidance purposes only until the permit limits are put into legislation. </t>
  </si>
  <si>
    <t>Summary</t>
  </si>
  <si>
    <t>No. of dwellings</t>
  </si>
  <si>
    <t>Identify the load from additional population</t>
  </si>
  <si>
    <t>Current TP discharge concentration</t>
  </si>
  <si>
    <t>TP Loading from additional population</t>
  </si>
  <si>
    <t>Current TN discharge concentration</t>
  </si>
  <si>
    <t>TN Loading from additional population</t>
  </si>
  <si>
    <t>Post 2030 TP discharge concentration</t>
  </si>
  <si>
    <t>Post 2030 TN discharge concentration</t>
  </si>
  <si>
    <t>Calculate net change in nutrient load from land use change</t>
  </si>
  <si>
    <t xml:space="preserve">TP current land use </t>
  </si>
  <si>
    <t>TP load from land use change</t>
  </si>
  <si>
    <t>TP proposed land use</t>
  </si>
  <si>
    <t>TN load from land use change</t>
  </si>
  <si>
    <t>TN current land use</t>
  </si>
  <si>
    <t>TN proposed land use</t>
  </si>
  <si>
    <t>Calculate nutrient budget for the development site</t>
  </si>
  <si>
    <t>TP budget for the site</t>
  </si>
  <si>
    <t>TN budget for the site</t>
  </si>
  <si>
    <t>Calculate precautionary buffer</t>
  </si>
  <si>
    <t>Buffer amount</t>
  </si>
  <si>
    <t>TP Precautionary buffer</t>
  </si>
  <si>
    <t>TN Precautionary buffer</t>
  </si>
  <si>
    <t>Development will be Nitrate neutral - no mitigation will be required</t>
  </si>
  <si>
    <t>Development will be Phosphate neutral - no mitigation will be required</t>
  </si>
  <si>
    <t>Note: The figures used throughout this model are based on scientific research, evidence and modelled catchments and represent the best available evidence. However, it is important that a precautionary buffer is used that recognises the uncertainty with these figures and ensures, with reasonable certainty, that there will be no adverse effect on site integrity. As such, a 20% precautionary buffer added to the nutrient budget.</t>
  </si>
  <si>
    <t>Development will generate additional Phosphate (Mitigation required) - Please progress to 'Mitigation current' tab</t>
  </si>
  <si>
    <t>Development will generate additional Phosphate (Mitigation required) - Please progress to 'Mitigation - post 2025' tab</t>
  </si>
  <si>
    <t>5.</t>
  </si>
  <si>
    <t>Total nutrient budget for the development site</t>
  </si>
  <si>
    <t>Development will generate additional Nitrate (Mitigation required) - Please progress to 'mitigation - current' tab</t>
  </si>
  <si>
    <t>Development will generate additional Phosphate (Mitigation required) - Please progress to 'Mitigation - post 2030' tab</t>
  </si>
  <si>
    <t>Total Phosphorus budget for the site</t>
  </si>
  <si>
    <t>Development will generate additional Nitrate (Mitigation required) - Please progress to 'Mitigation - post 2030' tab</t>
  </si>
  <si>
    <t>Total Nitrogen budget for the site</t>
  </si>
  <si>
    <t>Current TP loading</t>
  </si>
  <si>
    <t>Post 2030 TP loading</t>
  </si>
  <si>
    <t>Current TN loading</t>
  </si>
  <si>
    <t>Post 2030 TN loading</t>
  </si>
  <si>
    <t>Mitigation - current</t>
  </si>
  <si>
    <t>Calculate the nutrient banking for the proposed development</t>
  </si>
  <si>
    <r>
      <t xml:space="preserve">Note: This section is only required for projects that will generate additional nutrients and as a result need to implement mitigation measures, in order to achieve nutrient neutrality under the </t>
    </r>
    <r>
      <rPr>
        <b/>
        <i/>
        <sz val="12"/>
        <color rgb="FF000000"/>
        <rFont val="Calibri"/>
        <family val="2"/>
        <charset val="0"/>
        <scheme val="minor"/>
      </rPr>
      <t>current WRC permit limits</t>
    </r>
    <r>
      <rPr>
        <i/>
        <sz val="12"/>
        <color rgb="FF000000"/>
        <rFont val="Calibri"/>
        <family val="2"/>
        <charset val="0"/>
        <scheme val="minor"/>
      </rPr>
      <t xml:space="preserve">. </t>
    </r>
  </si>
  <si>
    <t>Nutrient budget to be mitigated</t>
  </si>
  <si>
    <t>TP budget to be mitigated</t>
  </si>
  <si>
    <t>TN budget to be mitigated</t>
  </si>
  <si>
    <t>Identify current land use of mitigation area</t>
  </si>
  <si>
    <t>2a.</t>
  </si>
  <si>
    <t>On-site mitigation</t>
  </si>
  <si>
    <t>2b.</t>
  </si>
  <si>
    <t>Off-site mitigation</t>
  </si>
  <si>
    <t xml:space="preserve">Note: If the mitigation is to be implemented on-site then the user should select "Yes" in the list above. If off-site mitigation is to be implemented instead, then the user should select "No" above. </t>
  </si>
  <si>
    <t>Note: If the mitigation is to be implemented off-site then the user should select "Yes" in the list above. If on-site mitigation is to be implemented instead, then the user should select "No" above.</t>
  </si>
  <si>
    <t>Identify current land use of off-site mitigation area</t>
  </si>
  <si>
    <t>Identify current land use on-site mitigation area</t>
  </si>
  <si>
    <t>TP</t>
  </si>
  <si>
    <t>TN</t>
  </si>
  <si>
    <t>Average land use of the on-site mitigation area</t>
  </si>
  <si>
    <t>Kg/ha/year</t>
  </si>
  <si>
    <t>Specific land use of on-site mitigation area</t>
  </si>
  <si>
    <t>Specific land use of off-site mitigation area</t>
  </si>
  <si>
    <t>On-site mitigation land runoff coefficient</t>
  </si>
  <si>
    <t>Off-site mitigation land runoff coefficient</t>
  </si>
  <si>
    <t>mitigation land runoff coefficient</t>
  </si>
  <si>
    <t>Potential land uses for mitigation</t>
  </si>
  <si>
    <t>Constructed wetland</t>
  </si>
  <si>
    <t>Urban open Space</t>
  </si>
  <si>
    <t>Heathland / Bog</t>
  </si>
  <si>
    <t>Meadow/semi-natural grassland/greenspace</t>
  </si>
  <si>
    <t>Designed Wetland banking coefficient</t>
  </si>
  <si>
    <t>Banking coefficient</t>
  </si>
  <si>
    <t>Note: This section calculates the required area (hectares) needed for each land use type to individually mitigate the total excess nutrients. This is included to provide context for the user when inputting required mitigation land uses in either section 4 and 5. Constructed wetland uses a generic runoff coefficient for guidance purposes only. Site-specific values will differ and should be manually inputted above.</t>
  </si>
  <si>
    <t>Identify proposed land uses for mitigation</t>
  </si>
  <si>
    <t>Sum total area needed to be created</t>
  </si>
  <si>
    <t>Note: This section allows the user to input the required TP and TN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</si>
  <si>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hectares</t>
  </si>
  <si>
    <t>Note: This section allows the user to input the required area for the various land uses to be created, with the equivalent TP and TN to be offset in order for the development to be nutrient neutral. The same applies as above regarding on-site mitigation.</t>
  </si>
  <si>
    <t>Mitigation - post 2025</t>
  </si>
  <si>
    <r>
      <t>Note: This section is only required for projects that will generate additional nutrients and as a result need to implement mitigation measures, in order to achieve nutrient neutrality under the</t>
    </r>
    <r>
      <rPr>
        <b/>
        <i/>
        <sz val="12"/>
        <color rgb="FF000000"/>
        <rFont val="Calibri"/>
        <family val="2"/>
        <charset val="0"/>
        <scheme val="minor"/>
      </rPr>
      <t xml:space="preserve"> post 2026 WRC permit limits. </t>
    </r>
  </si>
  <si>
    <t>850-900</t>
  </si>
  <si>
    <t>Note: This section allows the user to input the required TP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</si>
  <si>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area for the various land uses to be created, with the equivalent TP to be offset in order for the development to be nutrient neutral. The same applies as above regarding on-site mitigation.</t>
  </si>
  <si>
    <t>Difference in TP mitigation land uses between current WRC permit limits and post 2026 WRC permit limits</t>
  </si>
  <si>
    <t>Total Area of proposed TP mitigation land uses</t>
  </si>
  <si>
    <t>Current WRC</t>
  </si>
  <si>
    <t>Post 2030 WRC</t>
  </si>
  <si>
    <t>Difference</t>
  </si>
  <si>
    <t>Units</t>
  </si>
  <si>
    <t>Open Space / Greenfield</t>
  </si>
  <si>
    <t>Nature reserve</t>
  </si>
  <si>
    <t>Meadow/semi-natural grassland</t>
  </si>
  <si>
    <t>Note: This section demonstrates to the user the amount of mitigation land that is no longer required for the project to be 'Phosphate Neutral' following implementation of the AMP7 WRC permit limits</t>
  </si>
  <si>
    <t>Zero value calculator</t>
  </si>
  <si>
    <t>Iterative 'Zero' value calculator</t>
  </si>
  <si>
    <t xml:space="preserve">Note: This section provides details on the number of proposed dwellings that can be built and occupied that are acceptable as nutrient neutral prior to the implementation of mitigation measures, should they be required. </t>
  </si>
  <si>
    <t>Please select the Development type</t>
  </si>
  <si>
    <t>House</t>
  </si>
  <si>
    <t>Summary of proposed development</t>
  </si>
  <si>
    <t>Zero value</t>
  </si>
  <si>
    <t>Number of units proposed</t>
  </si>
  <si>
    <t>TP percentage of development neutral</t>
  </si>
  <si>
    <t>Total Development area</t>
  </si>
  <si>
    <t>Excess TP</t>
  </si>
  <si>
    <t>Current nutrient load</t>
  </si>
  <si>
    <t>Number of dwellings</t>
  </si>
  <si>
    <t>TP load from current land usage</t>
  </si>
  <si>
    <t>TN load from current land usage</t>
  </si>
  <si>
    <t>TN percentage of development neutral</t>
  </si>
  <si>
    <t>Excess TN</t>
  </si>
  <si>
    <t>Proposed nutrient load</t>
  </si>
  <si>
    <t>TP loading from Wastewater</t>
  </si>
  <si>
    <t>TN loading from Wastewater</t>
  </si>
  <si>
    <t>Development will be Phosphorous neutral - no mitigation will be required</t>
  </si>
  <si>
    <t>Development will generate additional Phosphorous (Mitigation required) - Please progress to Stage 5</t>
  </si>
  <si>
    <t>Development will generate additional Phosphorous (Mitigation required) - Please progress to Stage 6</t>
  </si>
  <si>
    <t>TP Zero value calculations</t>
  </si>
  <si>
    <t>% fallowed</t>
  </si>
  <si>
    <t>Proposed multiplier</t>
  </si>
  <si>
    <t>Set aside multiplier</t>
  </si>
  <si>
    <t>Proposed land use (kg/yr)</t>
  </si>
  <si>
    <t>Set aside land use (kg/yr)</t>
  </si>
  <si>
    <t>Sum land use</t>
  </si>
  <si>
    <t>Net change land use</t>
  </si>
  <si>
    <t>Dwellings/ha</t>
  </si>
  <si>
    <t>WwTW</t>
  </si>
  <si>
    <t>Total</t>
  </si>
  <si>
    <t>TN Zero value calculations</t>
  </si>
  <si>
    <t>Rainfall Tab</t>
  </si>
  <si>
    <t xml:space="preserve">The Rainfall tab shows the average annual rainfall in the nutrient neutrality area for the period 2001 to 2021. The rainfall is split into the following bands: 550-575 mm/yr, 575-600mm/yr, 600-625mm/yr, 625-650mm/yr, 650-675mm/yr, 675-700mm/yr, 700-750mm/yr, 750-800mm/yr and 800-850mm/yr. Rainfall amounts are typically the greatest in the north and west of the catchment and lowest in the south and east. </t>
  </si>
  <si>
    <t>Water Recycling Centre (WRC)</t>
  </si>
  <si>
    <t>Current (2025) Value known?</t>
  </si>
  <si>
    <t>Current (2025) TP Discharge level (mg/l)</t>
  </si>
  <si>
    <t>Current TN Discharge level (mg/l)</t>
  </si>
  <si>
    <t>2026 Value known?</t>
  </si>
  <si>
    <t>Post 2026 TP Discharge level (mg/l)</t>
  </si>
  <si>
    <t>Post 2026 TN Discharge level (mg/l)</t>
  </si>
  <si>
    <t>2030 Value known?</t>
  </si>
  <si>
    <t>Post 2030 TP discharge level (mg/l)</t>
  </si>
  <si>
    <t>Post 2030 TN discharge level (mg/l)</t>
  </si>
  <si>
    <t>Land Use classification</t>
  </si>
  <si>
    <t>Leaching rate (kg / ha / yr)</t>
  </si>
  <si>
    <t>Leaching rate (kg / ha / yr)2</t>
  </si>
  <si>
    <t>500-600 mm/yr</t>
  </si>
  <si>
    <t>600-700 mm/yr</t>
  </si>
  <si>
    <t>700-900 mm/yr</t>
  </si>
  <si>
    <t>Impermeable (Drained for Arable)</t>
  </si>
  <si>
    <t>Impermeable (Drained for Arable + Grassland)</t>
  </si>
  <si>
    <t>Mixed Livestock</t>
  </si>
  <si>
    <t>Set aside Land</t>
  </si>
  <si>
    <t>Pig</t>
  </si>
  <si>
    <t>Allotment</t>
  </si>
  <si>
    <t>Yare</t>
  </si>
  <si>
    <t>Treatment type</t>
  </si>
  <si>
    <t>P removal</t>
  </si>
  <si>
    <t>N removal</t>
  </si>
  <si>
    <t>Please enter effluent concentration in cell to right:</t>
  </si>
  <si>
    <t>Default package treatment plant</t>
  </si>
  <si>
    <t>Septic tank (user-defined)</t>
  </si>
  <si>
    <t>Default multi-source septic tank</t>
  </si>
  <si>
    <t>Default single-source septic tank</t>
  </si>
  <si>
    <t>Bure</t>
  </si>
  <si>
    <t>Rainfall band</t>
  </si>
  <si>
    <t>midpoint</t>
  </si>
  <si>
    <t>Catchment wetness (U)</t>
  </si>
  <si>
    <t>575-600</t>
  </si>
  <si>
    <t>600-625</t>
  </si>
  <si>
    <t>625-650</t>
  </si>
  <si>
    <t>650-675</t>
  </si>
  <si>
    <t>675-700</t>
  </si>
  <si>
    <t>700-750</t>
  </si>
  <si>
    <t>750-800</t>
  </si>
  <si>
    <t>800-850</t>
  </si>
  <si>
    <t>Land use</t>
  </si>
  <si>
    <t>Imperviousness (%)</t>
  </si>
  <si>
    <t>EMC (mg/l)</t>
  </si>
  <si>
    <t>High density urban</t>
  </si>
  <si>
    <t>Unknown</t>
  </si>
  <si>
    <t>90% permit</t>
  </si>
  <si>
    <t>Average removal rate (76%)</t>
  </si>
  <si>
    <t>Measured discharge</t>
  </si>
  <si>
    <t>_Ctrl_1</t>
  </si>
  <si>
    <t>{"WidgetClassification":3,"State":1,"HyperlinkFlavor":0,"Placement":0,"LinkTarget":0,"CellName":"_Ctrl_1","CellAddress":"='Help'!$C$83","WidgetName":8,"HiddenRow":1,"SheetCodeName":null,"ControlId":"","wcb":0}</t>
  </si>
  <si>
    <t>{"IsHide":false,"HiddenInExcel":false,"SheetId":-1,"Name":"Sheet1","Guid":"M3N0WR","Index":1,"VisibleRange":"","SheetTheme":{"TabColor":"","BodyColor":"","BodyImage":""},"IsPrintSheet":false}</t>
  </si>
  <si>
    <t>{"InputDetection":2,"RecalcMode":0,"Layout":0,"LayoutSamePagesHeightEnabled":false,"Theme":{"BgColor":"#FFFFFFFF","BgImage":"","InputBorderStyle":0,"AppliedTheme":""},"SmartphoneSettings":{"ViewportLock":true,"UseOldViewEngine":false,"EnableZoom":false,"EnableSwipe":false,"HideToolbar":false,"InheritBackgroundColor":false,"CheckboxFlavor":1,"ShowBubble":false},"Name":"Phosphate Budget Calculator","Flavor":0,"Edition":3,"CopyProtect":{"IsEnabled":false,"DomainName":""},"HideSscPoweredlogo":false,"AspnetConfig":{"BrowseUrl":"http://localhost/ssc","FileExtension":0},"NodeSecureLoginEnabled":false,"SmartphoneTheme":1,"Toolbar":{"Position":1,"IsSubmit":false,"IsPrintSheet":true,"IsPrintAll":true,"IsPrintThis":false,"IsReset":true,"IsUpdate":true},"ConfigureSubmit":{"IsShowCaptcha":false,"IsUseSscWebServer":true,"ReceiverCode":"oliver.bowers@rhdhv.com","IsFreeService":false,"IsAdvanceService":true,"IsSecureEmail":false,"IsDemonstrationService":fals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3,"ChartYAxisFixed":false}</t>
  </si>
  <si>
    <t>{"BrowserAndLocation":{"ConversionPath":"C:\\Users\\305327\\Documents\\SpreadsheetConverter","SelectedBrowsers":[]},"SpreadsheetServer":{"Username":"","Password":"","ServerUrl":"","TestUsername":"","TestPassword":""},"ConfigureSubmitDefault":{"Email":"oliver.bowers@rhdhv.com","Free":false,"Advanced":true,"AdvancedSecured":false,"Demo":fals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</si>
  <si>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_Ctrl_2</t>
  </si>
  <si>
    <t>{"WidgetClassification":3,"State":1,"HyperlinkFlavor":0,"Placement":0,"LinkTarget":0,"CellName":"_Ctrl_2","CellAddress":"='Help'!$C$84","WidgetName":8,"HiddenRow":2,"SheetCodeName":null,"ControlId":"","wcb":0}</t>
  </si>
  <si>
    <t>{"IsHide":false,"HiddenInExcel":false,"SheetId":-1,"Name":"Help","Guid":"GH02KY","Index":2,"VisibleRange":"","SheetTheme":{"TabColor":"","BodyColor":"","BodyImage":""},"IsPrintSheet":false}</t>
  </si>
  <si>
    <t>_Ctrl_3</t>
  </si>
  <si>
    <t>{"WidgetClassification":3,"State":1,"HyperlinkFlavor":0,"Placement":0,"LinkTarget":0,"CellName":"_Ctrl_3","CellAddress":"='Help'!$C$86","WidgetName":8,"HiddenRow":3,"SheetCodeName":null,"ControlId":"","wcb":0}</t>
  </si>
  <si>
    <t>{"IsHide":false,"HiddenInExcel":false,"SheetId":-1,"Name":"Info","Guid":"MWW6DG","Index":3,"VisibleRange":"","SheetTheme":{"TabColor":"","BodyColor":"","BodyImage":""},"IsPrintSheet":false}</t>
  </si>
  <si>
    <t>_Ctrl_4</t>
  </si>
  <si>
    <t>{"WidgetClassification":3,"State":1,"HyperlinkFlavor":0,"Placement":0,"LinkTarget":0,"CellName":"_Ctrl_4","CellAddress":"='Help'!$C$36","WidgetName":8,"HiddenRow":4,"SheetCodeName":null,"ControlId":"","wcb":0}</t>
  </si>
  <si>
    <t>{"IsHide":false,"HiddenInExcel":false,"SheetId":-1,"Name":"Stage 1","Guid":"2IH9DR","Index":4,"VisibleRange":"","SheetTheme":{"TabColor":"","BodyColor":"","BodyImage":""},"IsPrintSheet":false}</t>
  </si>
  <si>
    <t>_Ctrl_5</t>
  </si>
  <si>
    <t>{"WidgetClassification":0,"State":1,"IsRequired":false,"IsMultiline":true,"IsHidden":false,"Placeholder":"","InputType":0,"Rows":3,"IsMergeJustify":false,"CellName":"_Ctrl_5","CellAddress":"='Info'!$C$13","WidgetName":4,"HiddenRow":5,"SheetCodeName":null,"ControlId":"","wcb":0}</t>
  </si>
  <si>
    <t>{"IsHide":false,"HiddenInExcel":false,"SheetId":-1,"Name":"Stage 2","Guid":"PBBYLW","Index":5,"VisibleRange":"","SheetTheme":{"TabColor":"","BodyColor":"","BodyImage":""},"IsPrintSheet":false}</t>
  </si>
  <si>
    <t>_Ctrl_6</t>
  </si>
  <si>
    <t>{"WidgetClassification":0,"State":1,"IsRequired":false,"IsMultiline":true,"IsHidden":false,"Placeholder":"","InputType":0,"Rows":3,"IsMergeJustify":false,"CellName":"_Ctrl_6","CellAddress":"='Info'!$E$8","WidgetName":4,"HiddenRow":6,"SheetCodeName":null,"ControlId":"","wcb":0}</t>
  </si>
  <si>
    <t>{"IsHide":false,"HiddenInExcel":false,"SheetId":-1,"Name":"Stage 3","Guid":"OBSXTD","Index":6,"VisibleRange":"","SheetTheme":{"TabColor":"","BodyColor":"","BodyImage":""},"IsPrintSheet":false}</t>
  </si>
  <si>
    <t>_Ctrl_7</t>
  </si>
  <si>
    <t>{"WidgetClassification":0,"State":1,"IsRequired":false,"IsMultiline":true,"IsHidden":false,"Placeholder":"","InputType":0,"Rows":3,"IsMergeJustify":false,"CellName":"_Ctrl_7","CellAddress":"='Info'!$E$6","WidgetName":4,"HiddenRow":7,"SheetCodeName":null,"ControlId":"","wcb":0}</t>
  </si>
  <si>
    <t>{"IsHide":false,"HiddenInExcel":false,"SheetId":-1,"Name":"Stage 4","Guid":"LE582F","Index":7,"VisibleRange":"","SheetTheme":{"TabColor":"","BodyColor":"","BodyImage":""},"IsPrintSheet":false}</t>
  </si>
  <si>
    <t>_Ctrl_8</t>
  </si>
  <si>
    <t>{"IsHide":true,"HiddenInExcel":false,"SheetId":-1,"Name":"Zero value Calc","Guid":"2I8WXQ","Index":8,"VisibleRange":"","SheetTheme":{"TabColor":"","BodyColor":"","BodyImage":""},"IsPrintSheet":false}</t>
  </si>
  <si>
    <t>_Ctrl_9</t>
  </si>
  <si>
    <t>{"IsHide":true,"HiddenInExcel":false,"SheetId":-1,"Name":"Graph Calculations","Guid":"L2SEMM","Index":9,"VisibleRange":"","SheetTheme":{"TabColor":"","BodyColor":"","BodyImage":""},"IsPrintSheet":false}</t>
  </si>
  <si>
    <t>_Ctrl_10</t>
  </si>
  <si>
    <t>{"IsHide":false,"HiddenInExcel":false,"SheetId":-1,"Name":"Stage 5","Guid":"HSZ08X","Index":10,"VisibleRange":"","SheetTheme":{"TabColor":"","BodyColor":"","BodyImage":""},"IsPrintSheet":false}</t>
  </si>
  <si>
    <t>_Ctrl_11</t>
  </si>
  <si>
    <t>{"IsHide":false,"HiddenInExcel":false,"SheetId":-1,"Name":"Stage 6","Guid":"02A03G","Index":11,"VisibleRange":"","SheetTheme":{"TabColor":"","BodyColor":"","BodyImage":""},"IsPrintSheet":false}</t>
  </si>
  <si>
    <t>_Ctrl_12</t>
  </si>
  <si>
    <t>{"IsHide":false,"HiddenInExcel":false,"SheetId":-1,"Name":"Stage 7","Guid":"KT56TH","Index":12,"VisibleRange":"","SheetTheme":{"TabColor":"","BodyColor":"","BodyImage":""},"IsPrintSheet":false}</t>
  </si>
  <si>
    <t>_Ctrl_13</t>
  </si>
  <si>
    <t>{"IsHide":true,"HiddenInExcel":false,"SheetId":-1,"Name":"Data Tables","Guid":"DHW3E9","Index":13,"VisibleRange":"","SheetTheme":{"TabColor":"","BodyColor":"","BodyImage":""},"IsPrintSheet":false}</t>
  </si>
  <si>
    <t>_Ctrl_14</t>
  </si>
  <si>
    <t>_Ctrl_15</t>
  </si>
  <si>
    <t>_Ctrl_16</t>
  </si>
  <si>
    <t>_Ctrl_17</t>
  </si>
  <si>
    <t>_Ctrl_18</t>
  </si>
  <si>
    <t>_Ctrl_19</t>
  </si>
  <si>
    <t>_Ctrl_20</t>
  </si>
  <si>
    <t>_Ctrl_21</t>
  </si>
  <si>
    <t>_Ctrl_22</t>
  </si>
  <si>
    <t>_Ctrl_23</t>
  </si>
  <si>
    <t>_Ctrl_24</t>
  </si>
  <si>
    <t>_Ctrl_25</t>
  </si>
  <si>
    <t>_Ctrl_26</t>
  </si>
  <si>
    <t>_Ctrl_27</t>
  </si>
  <si>
    <t>_Ctrl_28</t>
  </si>
  <si>
    <t>_Ctrl_29</t>
  </si>
  <si>
    <t>_Ctrl_30</t>
  </si>
  <si>
    <t>_Ctrl_31</t>
  </si>
  <si>
    <t>_Ctrl_32</t>
  </si>
  <si>
    <t>_Ctrl_33</t>
  </si>
  <si>
    <t>_Ctrl_34</t>
  </si>
  <si>
    <t>_Ctrl_35</t>
  </si>
  <si>
    <t>_Ctrl_36</t>
  </si>
  <si>
    <t>_Ctrl_37</t>
  </si>
  <si>
    <t>_Ctrl_38</t>
  </si>
  <si>
    <t>_Ctrl_39</t>
  </si>
  <si>
    <t>_Ctrl_40</t>
  </si>
  <si>
    <t>_Ctrl_41</t>
  </si>
  <si>
    <t>_Ctrl_42</t>
  </si>
  <si>
    <t>_Ctrl_43</t>
  </si>
  <si>
    <t>_Ctrl_44</t>
  </si>
  <si>
    <t>_Ctrl_45</t>
  </si>
  <si>
    <t>_Ctrl_46</t>
  </si>
  <si>
    <t>_Ctrl_47</t>
  </si>
  <si>
    <t>_Ctrl_48</t>
  </si>
  <si>
    <t>_Ctrl_49</t>
  </si>
  <si>
    <t>_Ctrl_50</t>
  </si>
  <si>
    <t>_Ctrl_51</t>
  </si>
  <si>
    <t>_Ctrl_52</t>
  </si>
  <si>
    <t>_Ctrl_53</t>
  </si>
  <si>
    <t>_Ctrl_54</t>
  </si>
  <si>
    <t>_Ctrl_55</t>
  </si>
  <si>
    <t>_Ctrl_56</t>
  </si>
  <si>
    <t>_Ctrl_57</t>
  </si>
  <si>
    <t>_Ctrl_58</t>
  </si>
  <si>
    <t>_Ctrl_59</t>
  </si>
  <si>
    <t>_Ctrl_60</t>
  </si>
  <si>
    <t>_Ctrl_61</t>
  </si>
  <si>
    <t>_Ctrl_62</t>
  </si>
  <si>
    <t>_ram_63</t>
  </si>
  <si>
    <t>{"WidgetClassification":4,"State":1,"ShowHideWidgetName":"Show-Hide 1","ClassName":"_css7b3c","ShowHideType":1,"RowRange":"","RowRangeName":"_dep_ram_63","ControllingCell":"","ControllingCellName":"_ctrl_ram_63","StartRow":null,"EndRow":null,"SheetName":"","SheetId":0,"SheetIdCollection":[],"CellName":"_ram_63","CellAddress":"='Stage 4 (2)'!$K$14","WidgetName":21,"HiddenRow":63,"SheetCodeName":null,"ControlId":"","wcb":0}</t>
  </si>
  <si>
    <t>_Ctrl_64</t>
  </si>
  <si>
    <t>_Ctrl_65</t>
  </si>
  <si>
    <t>{"WidgetClassification":3,"State":1,"TelNo":"","CallusFlavor":1,"CellName":"_Ctrl_65","CellAddress":"='Zero value Calc'!$AU$15","WidgetName":10,"HiddenRow":65,"SheetCodeName":null,"ControlId":"","wcb":0}</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</si>
</sst>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164" formatCode="0.0000"/>
    <numFmt numFmtId="165" formatCode="0.0"/>
    <numFmt numFmtId="166" formatCode="0.000"/>
  </numFmts>
  <fonts count="56">
    <font>
      <sz val="10"/>
      <color rgb="FF000000"/>
      <name val="Arial"/>
      <family val="2"/>
      <charset val="0"/>
    </font>
    <font>
      <sz val="11"/>
      <color theme="1"/>
      <name val="Calibri"/>
      <family val="2"/>
      <charset val="0"/>
      <scheme val="minor"/>
    </font>
    <font>
      <b/>
      <sz val="10"/>
      <color rgb="FF000000"/>
      <name val="Arial"/>
      <family val="2"/>
      <charset val="0"/>
    </font>
    <font>
      <sz val="11"/>
      <color rgb="FF000000"/>
      <name val="Arial"/>
      <family val="2"/>
      <charset val="0"/>
    </font>
    <font>
      <sz val="10"/>
      <color rgb="FF000000"/>
      <name val="Arial"/>
      <family val="2"/>
      <charset val="0"/>
    </font>
    <font>
      <sz val="12"/>
      <color rgb="FF000000"/>
      <name val="Arial"/>
      <family val="2"/>
      <charset val="0"/>
    </font>
    <font>
      <sz val="8"/>
      <color rgb="FF000000"/>
      <name val="Arial"/>
      <family val="2"/>
      <charset val="0"/>
    </font>
    <font>
      <b/>
      <sz val="8"/>
      <color rgb="FF000000"/>
      <name val="Arial"/>
      <family val="2"/>
      <charset val="0"/>
    </font>
    <font>
      <i/>
      <sz val="8"/>
      <color rgb="FF000000"/>
      <name val="Arial"/>
      <family val="2"/>
      <charset val="0"/>
    </font>
    <font>
      <b/>
      <sz val="12"/>
      <color rgb="FF000000"/>
      <name val="Arial"/>
      <family val="2"/>
      <charset val="0"/>
    </font>
    <font>
      <sz val="11"/>
      <color theme="1"/>
      <name val="Arial"/>
      <family val="2"/>
      <charset val="0"/>
    </font>
    <font>
      <sz val="8"/>
      <name val="Arial"/>
      <family val="2"/>
      <charset val="0"/>
    </font>
    <font>
      <b/>
      <sz val="11"/>
      <color theme="1"/>
      <name val="Calibri"/>
      <family val="2"/>
      <charset val="0"/>
      <scheme val="minor"/>
    </font>
    <font>
      <u val="single"/>
      <sz val="10"/>
      <color theme="10"/>
      <name val="Arial"/>
      <family val="2"/>
      <charset val="0"/>
    </font>
    <font>
      <b/>
      <sz val="12"/>
      <color rgb="FF000000"/>
      <name val="Calibri"/>
      <family val="2"/>
      <charset val="0"/>
      <scheme val="minor"/>
    </font>
    <font>
      <b/>
      <sz val="10"/>
      <color rgb="FF000000"/>
      <name val="Calibri"/>
      <family val="2"/>
      <charset val="0"/>
      <scheme val="minor"/>
    </font>
    <font>
      <sz val="10"/>
      <color rgb="FF000000"/>
      <name val="Calibri"/>
      <family val="2"/>
      <charset val="0"/>
      <scheme val="minor"/>
    </font>
    <font>
      <sz val="11"/>
      <color rgb="FF000000"/>
      <name val="Calibri"/>
      <family val="2"/>
      <charset val="0"/>
      <scheme val="minor"/>
    </font>
    <font>
      <sz val="10.5"/>
      <color rgb="FF000000"/>
      <name val="Calibri"/>
      <family val="2"/>
      <charset val="0"/>
      <scheme val="minor"/>
    </font>
    <font>
      <sz val="10.5"/>
      <color rgb="FF000000"/>
      <name val="Arial"/>
      <family val="2"/>
      <charset val="0"/>
    </font>
    <font>
      <sz val="12"/>
      <color rgb="FF000000"/>
      <name val="Calibri"/>
      <family val="2"/>
      <charset val="0"/>
      <scheme val="minor"/>
    </font>
    <font>
      <sz val="10"/>
      <color theme="1"/>
      <name val="Calibri"/>
      <family val="2"/>
      <charset val="0"/>
      <scheme val="minor"/>
    </font>
    <font>
      <sz val="12"/>
      <color theme="1"/>
      <name val="Calibri"/>
      <family val="2"/>
      <charset val="0"/>
      <scheme val="minor"/>
    </font>
    <font>
      <b/>
      <sz val="12"/>
      <color theme="1"/>
      <name val="Calibri"/>
      <family val="2"/>
      <charset val="0"/>
      <scheme val="minor"/>
    </font>
    <font>
      <u val="single"/>
      <sz val="12"/>
      <color theme="10"/>
      <name val="Calibri"/>
      <family val="2"/>
      <charset val="0"/>
      <scheme val="minor"/>
    </font>
    <font>
      <sz val="12"/>
      <name val="Calibri"/>
      <family val="2"/>
      <charset val="0"/>
      <scheme val="minor"/>
    </font>
    <font>
      <i/>
      <sz val="12"/>
      <color rgb="FF000000"/>
      <name val="Calibri"/>
      <family val="2"/>
      <charset val="0"/>
      <scheme val="minor"/>
    </font>
    <font>
      <b/>
      <i/>
      <sz val="12"/>
      <color rgb="FF000000"/>
      <name val="Calibri"/>
      <family val="2"/>
      <charset val="0"/>
      <scheme val="minor"/>
    </font>
    <font>
      <sz val="12"/>
      <color rgb="FFFF0000"/>
      <name val="Calibri"/>
      <family val="2"/>
      <charset val="0"/>
      <scheme val="minor"/>
    </font>
    <font>
      <u val="single"/>
      <sz val="12"/>
      <color theme="10"/>
      <name val="Arial"/>
      <family val="2"/>
      <charset val="0"/>
    </font>
    <font>
      <sz val="10"/>
      <color theme="1"/>
      <name val="Calibri"/>
      <charset val="0"/>
      <scheme val="minor"/>
    </font>
    <font>
      <sz val="10"/>
      <color rgb="FF000000"/>
      <name val="Calibri"/>
      <charset val="0"/>
      <scheme val="minor"/>
    </font>
    <font>
      <sz val="10"/>
      <color indexed="8"/>
      <name val="Calibri"/>
      <family val="2"/>
      <charset val="0"/>
    </font>
    <font>
      <sz val="9"/>
      <color indexed="8"/>
      <name val="Arial"/>
      <family val="2"/>
      <charset val="0"/>
    </font>
    <font>
      <sz val="9"/>
      <color indexed="8"/>
      <name val="+mn-lt"/>
      <family val="2"/>
      <charset val="0"/>
    </font>
    <font>
      <sz val="9"/>
      <color rgb="00595959"/>
      <name val="+mn-lt"/>
      <family val="2"/>
      <charset val="0"/>
    </font>
    <font>
      <b/>
      <sz val="10"/>
      <color indexed="8"/>
      <name val="Arial"/>
      <family val="2"/>
      <charset val="0"/>
    </font>
    <font>
      <sz val="10"/>
      <color indexed="8"/>
      <name val="Arial"/>
      <family val="2"/>
      <charset val="0"/>
    </font>
    <font>
      <sz val="10"/>
      <color rgb="00595959"/>
      <name val="Arial"/>
      <family val="2"/>
      <charset val="0"/>
    </font>
    <font>
      <sz val="10"/>
      <color rgb="00595959"/>
      <name val="+mn-lt"/>
      <family val="2"/>
      <charset val="0"/>
    </font>
    <font>
      <sz val="10"/>
      <color indexed="63"/>
      <name val="Calibri"/>
      <family val="2"/>
      <charset val="0"/>
    </font>
    <font>
      <sz val="10"/>
      <color rgb="00595959"/>
      <name val="+mn-lt"/>
      <family val="2"/>
      <charset val="0"/>
    </font>
    <font>
      <sz val="10"/>
      <color rgb="00000000"/>
      <name val="+mn-lt"/>
      <family val="2"/>
      <charset val="0"/>
    </font>
    <font>
      <sz val="9"/>
      <color indexed="8"/>
      <name val="Calibri"/>
      <family val="2"/>
      <charset val="0"/>
    </font>
    <font>
      <sz val="10"/>
      <color rgb="00595959"/>
      <name val="+mn-lt"/>
      <family val="2"/>
      <charset val="0"/>
    </font>
    <font>
      <b/>
      <sz val="18"/>
      <color indexed="8"/>
      <name val="Arial"/>
      <family val="2"/>
      <charset val="0"/>
    </font>
    <font>
      <sz val="18"/>
      <color indexed="8"/>
      <name val="Arial"/>
      <family val="2"/>
      <charset val="0"/>
    </font>
    <font>
      <sz val="14"/>
      <color indexed="8"/>
      <name val="Arial"/>
      <family val="2"/>
      <charset val="0"/>
    </font>
    <font>
      <sz val="14"/>
      <color rgb="00595959"/>
      <name val="Arial"/>
      <family val="2"/>
      <charset val="0"/>
    </font>
    <font>
      <sz val="14"/>
      <color rgb="00595959"/>
      <name val="+mn-lt"/>
      <family val="2"/>
      <charset val="0"/>
    </font>
    <font>
      <sz val="14"/>
      <color indexed="63"/>
      <name val="Calibri"/>
      <family val="2"/>
      <charset val="0"/>
    </font>
    <font>
      <sz val="14"/>
      <color rgb="00595959"/>
      <name val="+mn-lt"/>
      <family val="2"/>
      <charset val="0"/>
    </font>
    <font>
      <sz val="14"/>
      <color rgb="00000000"/>
      <name val="+mn-lt"/>
      <family val="2"/>
      <charset val="0"/>
    </font>
    <font>
      <sz val="10"/>
      <color rgb="00595959"/>
      <name val="+mn-lt"/>
      <family val="2"/>
      <charset val="0"/>
    </font>
    <font>
      <sz val="10"/>
      <color indexed="63"/>
      <name val="+mn-lt"/>
      <family val="2"/>
      <charset val="0"/>
    </font>
    <font>
      <sz val="14"/>
      <color indexed="63"/>
      <name val="+mn-lt"/>
      <family val="2"/>
      <charset val="0"/>
    </font>
  </fonts>
  <fills count="40">
    <fill>
      <patternFill patternType="none">
        <fgColor indexed="64"/>
        <bgColor indexed="65"/>
      </patternFill>
    </fill>
    <fill>
      <patternFill patternType="gray125">
        <fgColor indexed="64"/>
        <bgColor indexed="65"/>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D6F4FE"/>
        <bgColor indexed="64"/>
      </patternFill>
    </fill>
    <fill>
      <patternFill patternType="solid">
        <fgColor theme="9" tint="0.79998168889431442"/>
        <bgColor indexed="64"/>
      </patternFill>
    </fill>
    <fill>
      <patternFill patternType="solid">
        <fgColor rgb="FFB9E8FF"/>
        <bgColor indexed="64"/>
      </patternFill>
    </fill>
    <fill>
      <patternFill patternType="solid">
        <fgColor rgb="FF00FE00"/>
        <bgColor indexed="64"/>
      </patternFill>
    </fill>
    <fill>
      <patternFill patternType="solid">
        <fgColor rgb="FFF0EA00"/>
        <bgColor indexed="64"/>
      </patternFill>
    </fill>
    <fill>
      <patternFill patternType="solid">
        <fgColor rgb="FFFFFFCC"/>
        <bgColor indexed="64"/>
      </patternFill>
    </fill>
    <fill>
      <patternFill patternType="solid">
        <fgColor rgb="FF269A26"/>
        <bgColor indexed="64"/>
      </patternFill>
    </fill>
    <fill>
      <patternFill patternType="solid">
        <fgColor rgb="FFE0C0A0"/>
        <bgColor indexed="64"/>
      </patternFill>
    </fill>
    <fill>
      <patternFill patternType="solid">
        <fgColor rgb="FF603000"/>
        <bgColor indexed="64"/>
      </patternFill>
    </fill>
    <fill>
      <patternFill patternType="solid">
        <fgColor rgb="FFB2FF8B"/>
        <bgColor indexed="64"/>
      </patternFill>
    </fill>
    <fill>
      <patternFill patternType="solid">
        <fgColor rgb="FFCC6600"/>
        <bgColor indexed="64"/>
      </patternFill>
    </fill>
    <fill>
      <patternFill patternType="solid">
        <fgColor rgb="FFA29E00"/>
        <bgColor indexed="64"/>
      </patternFill>
    </fill>
    <fill>
      <patternFill patternType="solid">
        <fgColor rgb="FF996633"/>
        <bgColor indexed="64"/>
      </patternFill>
    </fill>
    <fill>
      <patternFill patternType="solid">
        <fgColor rgb="FFFF0000"/>
        <bgColor indexed="64"/>
      </patternFill>
    </fill>
    <fill>
      <patternFill patternType="solid">
        <fgColor rgb="FFC40000"/>
        <bgColor indexed="64"/>
      </patternFill>
    </fill>
    <fill>
      <patternFill patternType="solid">
        <fgColor rgb="FFFFCCFF"/>
        <bgColor indexed="64"/>
      </patternFill>
    </fill>
    <fill>
      <patternFill patternType="solid">
        <fgColor rgb="FFDE8400"/>
        <bgColor indexed="64"/>
      </patternFill>
    </fill>
    <fill>
      <patternFill patternType="solid">
        <fgColor rgb="FF33CCFF"/>
        <bgColor indexed="64"/>
      </patternFill>
    </fill>
    <fill>
      <patternFill patternType="solid">
        <fgColor rgb="FFF1EFDB"/>
        <bgColor indexed="64"/>
      </patternFill>
    </fill>
    <fill>
      <patternFill patternType="solid">
        <fgColor rgb="FF3399FF"/>
        <bgColor indexed="64"/>
      </patternFill>
    </fill>
    <fill>
      <patternFill patternType="solid">
        <fgColor rgb="FFF69CAB"/>
        <bgColor indexed="64"/>
      </patternFill>
    </fill>
    <fill>
      <patternFill patternType="solid">
        <fgColor rgb="FF8C8CB2"/>
        <bgColor indexed="64"/>
      </patternFill>
    </fill>
    <fill>
      <patternFill patternType="solid">
        <fgColor rgb="FFFD7835"/>
        <bgColor indexed="64"/>
      </patternFill>
    </fill>
    <fill>
      <patternFill patternType="solid">
        <fgColor rgb="FF000099"/>
        <bgColor indexed="64"/>
      </patternFill>
    </fill>
    <fill>
      <patternFill patternType="solid">
        <fgColor rgb="FF8B8585"/>
        <bgColor indexed="64"/>
      </patternFill>
    </fill>
    <fill>
      <patternFill patternType="solid">
        <fgColor rgb="FF9900CC"/>
        <bgColor indexed="64"/>
      </patternFill>
    </fill>
    <fill>
      <patternFill patternType="solid">
        <fgColor rgb="FFFF00FF"/>
        <bgColor indexed="64"/>
      </patternFill>
    </fill>
    <fill>
      <patternFill patternType="solid">
        <fgColor rgb="FFD19FFF"/>
        <bgColor indexed="64"/>
      </patternFill>
    </fill>
    <fill>
      <patternFill patternType="solid">
        <fgColor rgb="FFFFF2CC"/>
        <bgColor indexed="64"/>
      </patternFill>
    </fill>
    <fill>
      <patternFill patternType="solid">
        <fgColor rgb="FFFFFFFF"/>
        <bgColor indexed="64"/>
      </patternFill>
    </fill>
    <fill>
      <patternFill patternType="solid">
        <fgColor theme="8" tint="0.79998168889431442"/>
        <bgColor indexed="64"/>
      </patternFill>
    </fill>
    <fill>
      <patternFill patternType="solid">
        <fgColor rgb="FFDDEBF7"/>
        <bgColor indexed="64"/>
      </patternFill>
    </fill>
    <fill>
      <patternFill patternType="solid">
        <fgColor theme="7"/>
        <bgColor indexed="64"/>
      </patternFill>
    </fill>
    <fill>
      <patternFill patternType="solid">
        <fgColor theme="5"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78">
    <xf numFmtId="0" fontId="0" fillId="0" borderId="0"/>
    <xf numFmtId="9" fontId="1" fillId="0" borderId="0" applyAlignment="0" applyBorder="0" applyFont="0" applyFill="0" applyProtection="0"/>
    <xf numFmtId="0" fontId="10" fillId="0" borderId="0"/>
    <xf numFmtId="0" fontId="10" fillId="0" borderId="0"/>
    <xf numFmtId="0" fontId="13" fillId="0" borderId="0" applyAlignment="0" applyBorder="0" applyNumberFormat="0" applyFill="0" applyProtection="0"/>
  </cellStyleXfs>
  <cellXfs>
    <xf numFmtId="0" fontId="0" fillId="0" borderId="0" xfId="0"/>
    <xf numFmtId="0" fontId="0" fillId="2" borderId="1" xfId="0" applyBorder="1" applyFill="1"/>
    <xf numFmtId="0" fontId="0" fillId="2" borderId="2" xfId="0" applyBorder="1" applyFill="1"/>
    <xf numFmtId="0" fontId="0" fillId="2" borderId="3" xfId="0" applyBorder="1" applyFill="1"/>
    <xf numFmtId="0" fontId="0" fillId="2" borderId="4" xfId="0" applyBorder="1" applyFill="1"/>
    <xf numFmtId="0" fontId="0" fillId="2" borderId="0" xfId="0" applyFill="1"/>
    <xf numFmtId="0" fontId="0" fillId="2" borderId="5" xfId="0" applyBorder="1" applyFill="1"/>
    <xf numFmtId="0" fontId="0" fillId="2" borderId="6" xfId="0" applyBorder="1" applyFill="1"/>
    <xf numFmtId="0" fontId="0" fillId="2" borderId="7" xfId="0" applyBorder="1" applyFill="1"/>
    <xf numFmtId="0" fontId="0" fillId="2" borderId="8" xfId="0" applyBorder="1" applyFill="1"/>
    <xf numFmtId="0" fontId="3" fillId="2" borderId="0" xfId="0" applyFont="1" applyFill="1"/>
    <xf numFmtId="0" fontId="0" fillId="2" borderId="0" xfId="0" applyAlignment="1" applyFill="1">
      <alignment horizontal="center" wrapText="1"/>
    </xf>
    <xf numFmtId="0" fontId="0" fillId="2" borderId="0" xfId="0" applyAlignment="1" applyFill="1">
      <alignment vertical="center"/>
    </xf>
    <xf numFmtId="2" fontId="0" fillId="0" borderId="0" xfId="0" applyNumberFormat="1"/>
    <xf numFmtId="164" fontId="0" fillId="0" borderId="0" xfId="0" applyNumberFormat="1"/>
    <xf numFmtId="0" fontId="0" fillId="0" borderId="0" xfId="0" applyAlignment="1">
      <alignment horizontal="center" vertical="center"/>
    </xf>
    <xf numFmtId="9" fontId="2" fillId="0" borderId="0" xfId="1" applyFont="1" applyNumberFormat="1"/>
    <xf numFmtId="0" fontId="0" fillId="0" borderId="5" xfId="0" applyBorder="1"/>
    <xf numFmtId="0" fontId="0" fillId="0" borderId="8" xfId="0" applyBorder="1"/>
    <xf numFmtId="2" fontId="2" fillId="0" borderId="0" xfId="0" applyAlignment="1" applyFont="1" applyNumberFormat="1">
      <alignment horizontal="center" vertical="center"/>
    </xf>
    <xf numFmtId="0" fontId="5" fillId="0" borderId="0" xfId="0" applyFont="1"/>
    <xf numFmtId="0" fontId="0" fillId="0" borderId="0" xfId="0" applyAlignment="1">
      <alignment horizontal="center"/>
    </xf>
    <xf numFmtId="0" fontId="6" fillId="0" borderId="0" xfId="0" applyAlignment="1" applyFont="1">
      <alignment horizontal="right" vertical="center"/>
    </xf>
    <xf numFmtId="0" fontId="0" fillId="0" borderId="0" xfId="0" applyAlignment="1">
      <alignment vertical="center"/>
    </xf>
    <xf numFmtId="0" fontId="2" fillId="0" borderId="0" xfId="0" applyFont="1"/>
    <xf numFmtId="0" fontId="6" fillId="0" borderId="0" xfId="0" applyAlignment="1" applyFont="1">
      <alignment horizontal="right" wrapText="1"/>
    </xf>
    <xf numFmtId="0" fontId="6" fillId="0" borderId="0" xfId="0" applyAlignment="1" applyFont="1">
      <alignment horizontal="right"/>
    </xf>
    <xf numFmtId="0" fontId="7" fillId="0" borderId="0" xfId="0" applyAlignment="1" applyFont="1">
      <alignment horizontal="right" vertical="center"/>
    </xf>
    <xf numFmtId="0" fontId="8" fillId="0" borderId="0" xfId="0" applyAlignment="1" applyFont="1">
      <alignment horizontal="left" vertical="center" wrapText="1"/>
    </xf>
    <xf numFmtId="0" fontId="6" fillId="0" borderId="0" xfId="0" applyAlignment="1" applyFont="1">
      <alignment horizontal="right" vertical="center" wrapText="1"/>
    </xf>
    <xf numFmtId="164" fontId="0" fillId="0" borderId="0" xfId="0" applyAlignment="1" applyNumberFormat="1">
      <alignment horizontal="center" vertical="center"/>
    </xf>
    <xf numFmtId="0" fontId="8" fillId="0" borderId="0" xfId="0" applyAlignment="1" applyFont="1">
      <alignment horizontal="left" vertical="top" wrapText="1"/>
    </xf>
    <xf numFmtId="9" fontId="0" fillId="0" borderId="0" xfId="0" applyNumberFormat="1"/>
    <xf numFmtId="0" fontId="0" fillId="2" borderId="2" xfId="0" applyAlignment="1" applyBorder="1" applyFill="1">
      <alignment vertical="center"/>
    </xf>
    <xf numFmtId="0" fontId="0" fillId="0" borderId="4" xfId="0" applyBorder="1"/>
    <xf numFmtId="0" fontId="0" fillId="2" borderId="0" xfId="0" applyAlignment="1" applyFill="1">
      <alignment horizontal="center" vertical="center"/>
    </xf>
    <xf numFmtId="0" fontId="0" fillId="0" borderId="7" xfId="0" applyBorder="1"/>
    <xf numFmtId="0" fontId="9" fillId="2" borderId="0" xfId="0" applyAlignment="1" applyFont="1" applyFill="1">
      <alignment vertical="center"/>
    </xf>
    <xf numFmtId="0" fontId="14" fillId="2" borderId="0" xfId="0" applyAlignment="1" applyFont="1" applyFill="1">
      <alignment vertical="center"/>
    </xf>
    <xf numFmtId="0" fontId="16" fillId="2" borderId="0" xfId="0" applyAlignment="1" applyFont="1" applyFill="1">
      <alignment vertical="center"/>
    </xf>
    <xf numFmtId="0" fontId="16" fillId="0" borderId="0" xfId="0" applyFont="1"/>
    <xf numFmtId="0" fontId="19" fillId="2" borderId="0" xfId="0" applyAlignment="1" applyFont="1" applyFill="1">
      <alignment vertical="center"/>
    </xf>
    <xf numFmtId="0" fontId="16" fillId="2" borderId="0" xfId="0" applyFont="1" applyFill="1"/>
    <xf numFmtId="0" fontId="16" fillId="2" borderId="1" xfId="0" applyBorder="1" applyFont="1" applyFill="1"/>
    <xf numFmtId="0" fontId="16" fillId="2" borderId="2" xfId="0" applyBorder="1" applyFont="1" applyFill="1"/>
    <xf numFmtId="0" fontId="16" fillId="2" borderId="3" xfId="0" applyBorder="1" applyFont="1" applyFill="1"/>
    <xf numFmtId="0" fontId="16" fillId="2" borderId="4" xfId="0" applyBorder="1" applyFont="1" applyFill="1"/>
    <xf numFmtId="0" fontId="16" fillId="2" borderId="5" xfId="0" applyBorder="1" applyFont="1" applyFill="1"/>
    <xf numFmtId="49" fontId="20" fillId="2" borderId="0" xfId="0" applyAlignment="1" applyFont="1" applyNumberFormat="1" applyFill="1">
      <alignment vertical="center"/>
    </xf>
    <xf numFmtId="0" fontId="20" fillId="2" borderId="0" xfId="0" applyAlignment="1" applyFont="1" applyFill="1">
      <alignment vertical="center"/>
    </xf>
    <xf numFmtId="0" fontId="16" fillId="2" borderId="6" xfId="0" applyBorder="1" applyFont="1" applyFill="1"/>
    <xf numFmtId="0" fontId="16" fillId="2" borderId="7" xfId="0" applyBorder="1" applyFont="1" applyFill="1"/>
    <xf numFmtId="0" fontId="16" fillId="2" borderId="8" xfId="0" applyBorder="1" applyFont="1" applyFill="1"/>
    <xf numFmtId="0" fontId="16" fillId="2" borderId="0" xfId="0" applyAlignment="1" applyFont="1" applyFill="1">
      <alignment wrapText="1"/>
    </xf>
    <xf numFmtId="0" fontId="16" fillId="2" borderId="0" xfId="0" applyAlignment="1" applyFont="1" applyFill="1">
      <alignment horizontal="center" wrapText="1"/>
    </xf>
    <xf numFmtId="0" fontId="17" fillId="2" borderId="0" xfId="0" applyFont="1" applyFill="1"/>
    <xf numFmtId="0" fontId="16" fillId="2" borderId="7" xfId="0" applyAlignment="1" applyBorder="1" applyFont="1" applyFill="1">
      <alignment vertical="center"/>
    </xf>
    <xf numFmtId="2" fontId="16" fillId="2" borderId="0" xfId="0" applyFont="1" applyNumberFormat="1" applyFill="1"/>
    <xf numFmtId="2" fontId="16" fillId="2" borderId="7" xfId="0" applyBorder="1" applyFont="1" applyNumberFormat="1" applyFill="1"/>
    <xf numFmtId="9" fontId="15" fillId="2" borderId="0" xfId="0" applyFont="1" applyNumberFormat="1" applyFill="1"/>
    <xf numFmtId="9" fontId="15" fillId="2" borderId="0" xfId="1" applyBorder="1" applyFont="1" applyNumberFormat="1" applyFill="1"/>
    <xf numFmtId="0" fontId="16" fillId="3" borderId="0" xfId="0" applyFont="1" applyFill="1"/>
    <xf numFmtId="2" fontId="16" fillId="3" borderId="5" xfId="0" applyAlignment="1" applyBorder="1" applyFont="1" applyNumberFormat="1" applyFill="1">
      <alignment horizontal="center"/>
    </xf>
    <xf numFmtId="164" fontId="16" fillId="3" borderId="5" xfId="0" applyAlignment="1" applyBorder="1" applyFont="1" applyNumberFormat="1" applyFill="1">
      <alignment horizontal="center"/>
    </xf>
    <xf numFmtId="2" fontId="16" fillId="3" borderId="0" xfId="0" applyFont="1" applyNumberFormat="1" applyFill="1"/>
    <xf numFmtId="2" fontId="16" fillId="3" borderId="5" xfId="0" applyAlignment="1" applyBorder="1" applyFont="1" applyNumberFormat="1" applyFill="1">
      <alignment horizontal="center" vertical="center"/>
    </xf>
    <xf numFmtId="0" fontId="20" fillId="0" borderId="0" xfId="0" applyAlignment="1" applyFont="1">
      <alignment vertical="center"/>
    </xf>
    <xf numFmtId="49" fontId="20" fillId="2" borderId="0" xfId="0" applyAlignment="1" applyFont="1" applyNumberFormat="1" applyFill="1">
      <alignment horizontal="right" vertical="center"/>
    </xf>
    <xf numFmtId="0" fontId="20" fillId="2" borderId="0" xfId="0" applyAlignment="1" applyFont="1" applyFill="1">
      <alignment vertical="center" wrapText="1"/>
    </xf>
    <xf numFmtId="0" fontId="18" fillId="0" borderId="0" xfId="0" applyAlignment="1" applyFont="1">
      <alignment vertical="center"/>
    </xf>
    <xf numFmtId="0" fontId="19" fillId="0" borderId="0" xfId="0" applyFont="1"/>
    <xf numFmtId="0" fontId="18" fillId="2" borderId="5" xfId="0" applyAlignment="1" applyBorder="1" applyFont="1" applyFill="1">
      <alignment vertical="center"/>
    </xf>
    <xf numFmtId="0" fontId="15" fillId="2" borderId="0" xfId="0" applyAlignment="1" applyFont="1" applyFill="1">
      <alignment horizontal="left" vertical="center"/>
    </xf>
    <xf numFmtId="0" fontId="12" fillId="0" borderId="0" xfId="0" applyAlignment="1" applyFont="1">
      <alignment wrapText="1"/>
    </xf>
    <xf numFmtId="0" fontId="15" fillId="0" borderId="0" xfId="0" applyFont="1"/>
    <xf numFmtId="0" fontId="16" fillId="0" borderId="0" xfId="0" applyAlignment="1" applyFont="1">
      <alignment horizontal="center" wrapText="1"/>
    </xf>
    <xf numFmtId="0" fontId="16" fillId="0" borderId="9" xfId="0" applyAlignment="1" applyBorder="1" applyFont="1">
      <alignment wrapText="1"/>
    </xf>
    <xf numFmtId="0" fontId="16" fillId="0" borderId="0" xfId="0" applyAlignment="1" applyFont="1">
      <alignment wrapText="1"/>
    </xf>
    <xf numFmtId="0" fontId="15" fillId="0" borderId="0" xfId="0" applyAlignment="1" applyFont="1">
      <alignment wrapText="1"/>
    </xf>
    <xf numFmtId="0" fontId="16" fillId="0" borderId="10" xfId="2" applyAlignment="1" applyBorder="1" applyFont="1">
      <alignment horizontal="left" vertical="center"/>
    </xf>
    <xf numFmtId="0" fontId="21" fillId="0" borderId="11" xfId="0" applyBorder="1" applyFont="1"/>
    <xf numFmtId="2" fontId="21" fillId="0" borderId="11" xfId="0" applyAlignment="1" applyBorder="1" applyFont="1" applyNumberFormat="1">
      <alignment horizontal="center"/>
    </xf>
    <xf numFmtId="165" fontId="21" fillId="0" borderId="11" xfId="0" applyAlignment="1" applyBorder="1" applyFont="1" applyNumberFormat="1">
      <alignment horizontal="center"/>
    </xf>
    <xf numFmtId="165" fontId="21" fillId="0" borderId="11" xfId="0" applyAlignment="1" applyBorder="1" applyFont="1" applyNumberFormat="1">
      <alignment horizontal="left"/>
    </xf>
    <xf numFmtId="2" fontId="21" fillId="0" borderId="11" xfId="0" applyAlignment="1" applyBorder="1" applyFont="1" applyNumberFormat="1">
      <alignment horizontal="left"/>
    </xf>
    <xf numFmtId="0" fontId="16" fillId="2" borderId="12" xfId="0" applyBorder="1" applyFont="1" applyFill="1"/>
    <xf numFmtId="2" fontId="16" fillId="2" borderId="9" xfId="0" applyBorder="1" applyFont="1" applyNumberFormat="1" applyFill="1"/>
    <xf numFmtId="0" fontId="21" fillId="0" borderId="0" xfId="0" applyFont="1"/>
    <xf numFmtId="0" fontId="16" fillId="0" borderId="11" xfId="2" applyAlignment="1" applyBorder="1" applyFont="1">
      <alignment horizontal="left" vertical="center"/>
    </xf>
    <xf numFmtId="0" fontId="16" fillId="0" borderId="11" xfId="0" applyAlignment="1" applyBorder="1" applyFont="1">
      <alignment horizontal="left" vertical="center"/>
    </xf>
    <xf numFmtId="2" fontId="16" fillId="0" borderId="11" xfId="0" applyAlignment="1" applyBorder="1" applyFont="1" applyNumberFormat="1">
      <alignment horizontal="center"/>
    </xf>
    <xf numFmtId="0" fontId="16" fillId="0" borderId="13" xfId="0" applyAlignment="1" applyBorder="1" applyFont="1">
      <alignment horizontal="left"/>
    </xf>
    <xf numFmtId="2" fontId="16" fillId="0" borderId="0" xfId="0" applyFont="1" applyNumberFormat="1"/>
    <xf numFmtId="0" fontId="16" fillId="0" borderId="11" xfId="0" applyBorder="1" applyFont="1"/>
    <xf numFmtId="165" fontId="16" fillId="0" borderId="11" xfId="0" applyAlignment="1" applyBorder="1" applyFont="1" applyNumberFormat="1">
      <alignment horizontal="left"/>
    </xf>
    <xf numFmtId="2" fontId="16" fillId="2" borderId="9" xfId="0" applyBorder="1" applyFont="1" applyNumberFormat="1" applyFill="1" applyProtection="1">
      <protection locked="0"/>
    </xf>
    <xf numFmtId="0" fontId="15" fillId="0" borderId="14" xfId="0" applyBorder="1" applyFont="1"/>
    <xf numFmtId="0" fontId="15" fillId="0" borderId="15" xfId="0" applyBorder="1" applyFont="1"/>
    <xf numFmtId="0" fontId="15" fillId="0" borderId="16" xfId="0" applyBorder="1" applyFont="1"/>
    <xf numFmtId="0" fontId="16" fillId="0" borderId="17" xfId="0" applyBorder="1" applyFont="1"/>
    <xf numFmtId="0" fontId="16" fillId="0" borderId="18" xfId="0" applyBorder="1" applyFont="1"/>
    <xf numFmtId="0" fontId="16" fillId="0" borderId="19" xfId="0" applyBorder="1" applyFont="1"/>
    <xf numFmtId="2" fontId="16" fillId="4" borderId="11" xfId="0" applyAlignment="1" applyBorder="1" applyFont="1" applyNumberFormat="1" applyFill="1">
      <alignment horizontal="center"/>
    </xf>
    <xf numFmtId="2" fontId="16" fillId="4" borderId="11" xfId="0" applyAlignment="1" applyBorder="1" applyFont="1" applyNumberFormat="1" applyFill="1">
      <alignment horizontal="left"/>
    </xf>
    <xf numFmtId="165" fontId="16" fillId="0" borderId="13" xfId="0" applyAlignment="1" applyBorder="1" applyFont="1" applyNumberFormat="1">
      <alignment horizontal="left"/>
    </xf>
    <xf numFmtId="165" fontId="16" fillId="0" borderId="0" xfId="0" applyAlignment="1" applyFont="1" applyNumberFormat="1">
      <alignment horizontal="center"/>
    </xf>
    <xf numFmtId="165" fontId="16" fillId="0" borderId="0" xfId="0" applyAlignment="1" applyFont="1" applyNumberFormat="1">
      <alignment horizontal="left"/>
    </xf>
    <xf numFmtId="0" fontId="16" fillId="0" borderId="0" xfId="0" applyAlignment="1" applyFont="1">
      <alignment horizontal="center"/>
    </xf>
    <xf numFmtId="0" fontId="15" fillId="2" borderId="7" xfId="0" applyAlignment="1" applyBorder="1" applyFont="1" applyFill="1">
      <alignment horizontal="left" vertical="center"/>
    </xf>
    <xf numFmtId="2" fontId="16" fillId="2" borderId="5" xfId="0" applyAlignment="1" applyBorder="1" applyFont="1" applyNumberFormat="1" applyFill="1">
      <alignment horizontal="center"/>
    </xf>
    <xf numFmtId="2" fontId="0" fillId="0" borderId="0" xfId="0" applyAlignment="1" applyNumberFormat="1">
      <alignment wrapText="1"/>
    </xf>
    <xf numFmtId="2" fontId="16" fillId="0" borderId="0" xfId="0" applyAlignment="1" applyFont="1" applyNumberFormat="1">
      <alignment vertical="center"/>
    </xf>
    <xf numFmtId="2" fontId="16" fillId="0" borderId="5" xfId="0" applyBorder="1" applyFont="1" applyNumberFormat="1"/>
    <xf numFmtId="2" fontId="16" fillId="0" borderId="8" xfId="0" applyBorder="1" applyFont="1" applyNumberFormat="1"/>
    <xf numFmtId="0" fontId="15" fillId="0" borderId="20" xfId="0" applyBorder="1" applyFont="1"/>
    <xf numFmtId="0" fontId="15" fillId="0" borderId="21" xfId="0" applyAlignment="1" applyBorder="1" applyFont="1">
      <alignment wrapText="1"/>
    </xf>
    <xf numFmtId="0" fontId="15" fillId="0" borderId="22" xfId="0" applyBorder="1" applyFont="1"/>
    <xf numFmtId="0" fontId="16" fillId="0" borderId="23" xfId="0" applyBorder="1" applyFont="1"/>
    <xf numFmtId="0" fontId="16" fillId="0" borderId="24" xfId="0" applyBorder="1" applyFont="1"/>
    <xf numFmtId="0" fontId="15" fillId="0" borderId="25" xfId="0" applyAlignment="1" applyBorder="1" applyFont="1">
      <alignment wrapText="1"/>
    </xf>
    <xf numFmtId="0" fontId="16" fillId="0" borderId="9" xfId="0" applyBorder="1" applyFont="1"/>
    <xf numFmtId="0" fontId="16" fillId="0" borderId="26" xfId="0" applyBorder="1" applyFont="1"/>
    <xf numFmtId="2" fontId="16" fillId="0" borderId="9" xfId="0" applyBorder="1" applyFont="1" applyNumberFormat="1"/>
    <xf numFmtId="2" fontId="16" fillId="0" borderId="26" xfId="0" applyBorder="1" applyFont="1" applyNumberFormat="1"/>
    <xf numFmtId="0" fontId="16" fillId="0" borderId="5" xfId="0" applyBorder="1" applyFont="1"/>
    <xf numFmtId="0" fontId="16" fillId="0" borderId="8" xfId="0" applyBorder="1" applyFont="1"/>
    <xf numFmtId="0" fontId="16" fillId="0" borderId="27" xfId="0" applyAlignment="1" applyBorder="1" applyFont="1">
      <alignment wrapText="1"/>
    </xf>
    <xf numFmtId="0" fontId="15" fillId="0" borderId="28" xfId="0" applyAlignment="1" applyBorder="1" applyFont="1">
      <alignment wrapText="1"/>
    </xf>
    <xf numFmtId="0" fontId="15" fillId="0" borderId="29" xfId="0" applyAlignment="1" applyBorder="1" applyFont="1">
      <alignment wrapText="1"/>
    </xf>
    <xf numFmtId="0" fontId="16" fillId="0" borderId="12" xfId="0" applyBorder="1" applyFont="1"/>
    <xf numFmtId="0" fontId="16" fillId="0" borderId="7" xfId="0" applyAlignment="1" applyBorder="1" applyFont="1">
      <alignment wrapText="1"/>
    </xf>
    <xf numFmtId="2" fontId="21" fillId="2" borderId="15" xfId="0" applyAlignment="1" applyBorder="1" applyFont="1" applyNumberFormat="1" applyFill="1">
      <alignment horizontal="left"/>
    </xf>
    <xf numFmtId="2" fontId="21" fillId="2" borderId="11" xfId="0" applyAlignment="1" applyBorder="1" applyFont="1" applyNumberFormat="1" applyFill="1">
      <alignment horizontal="left"/>
    </xf>
    <xf numFmtId="0" fontId="16" fillId="0" borderId="0" xfId="0" applyAlignment="1" applyFont="1">
      <alignment horizontal="left" vertical="center"/>
    </xf>
    <xf numFmtId="2" fontId="16" fillId="5" borderId="11" xfId="0" applyAlignment="1" applyBorder="1" applyFont="1" applyNumberFormat="1" applyFill="1">
      <alignment horizontal="center"/>
    </xf>
    <xf numFmtId="2" fontId="21" fillId="5" borderId="11" xfId="0" applyAlignment="1" applyBorder="1" applyFont="1" applyNumberFormat="1" applyFill="1">
      <alignment horizontal="center"/>
    </xf>
    <xf numFmtId="2" fontId="16" fillId="5" borderId="11" xfId="0" applyAlignment="1" applyBorder="1" applyFont="1" applyNumberFormat="1" applyFill="1">
      <alignment horizontal="left"/>
    </xf>
    <xf numFmtId="2" fontId="21" fillId="5" borderId="11" xfId="0" applyAlignment="1" applyBorder="1" applyFont="1" applyNumberFormat="1" applyFill="1">
      <alignment horizontal="left"/>
    </xf>
    <xf numFmtId="0" fontId="20" fillId="2" borderId="0" xfId="0" applyAlignment="1" applyFont="1" applyFill="1">
      <alignment horizontal="left" vertical="center"/>
    </xf>
    <xf numFmtId="0" fontId="20" fillId="2" borderId="0" xfId="0" applyAlignment="1" applyFont="1" applyFill="1">
      <alignment horizontal="left" vertical="center" wrapText="1"/>
    </xf>
    <xf numFmtId="0" fontId="20" fillId="2" borderId="0" xfId="0" applyAlignment="1" applyFont="1" applyFill="1">
      <alignment horizontal="center" vertical="center"/>
    </xf>
    <xf numFmtId="0" fontId="20" fillId="2" borderId="0" xfId="0" applyAlignment="1" applyFont="1" applyFill="1">
      <alignment horizontal="center" vertical="center" wrapText="1"/>
    </xf>
    <xf numFmtId="0" fontId="14" fillId="2" borderId="0" xfId="0" applyAlignment="1" applyFont="1" applyFill="1">
      <alignment horizontal="left" vertical="center"/>
    </xf>
    <xf numFmtId="165" fontId="21" fillId="0" borderId="13" xfId="0" applyAlignment="1" applyBorder="1" applyFont="1" applyNumberFormat="1">
      <alignment horizontal="center"/>
    </xf>
    <xf numFmtId="165" fontId="21" fillId="0" borderId="13" xfId="0" applyAlignment="1" applyBorder="1" applyFont="1" applyNumberFormat="1">
      <alignment horizontal="left"/>
    </xf>
    <xf numFmtId="0" fontId="16" fillId="0" borderId="13" xfId="0" applyAlignment="1" applyBorder="1" applyFont="1">
      <alignment horizontal="left" vertical="center"/>
    </xf>
    <xf numFmtId="0" fontId="16" fillId="0" borderId="13" xfId="0" applyBorder="1" applyFont="1"/>
    <xf numFmtId="2" fontId="16" fillId="2" borderId="11" xfId="0" applyBorder="1" applyFont="1" applyNumberFormat="1" applyFill="1"/>
    <xf numFmtId="0" fontId="16" fillId="0" borderId="10" xfId="0" applyBorder="1" applyFont="1"/>
    <xf numFmtId="2" fontId="16" fillId="2" borderId="30" xfId="0" applyBorder="1" applyFont="1" applyNumberFormat="1" applyFill="1"/>
    <xf numFmtId="0" fontId="16" fillId="0" borderId="31" xfId="0" applyBorder="1" applyFont="1"/>
    <xf numFmtId="0" fontId="16" fillId="0" borderId="32" xfId="0" applyBorder="1" applyFont="1"/>
    <xf numFmtId="0" fontId="16" fillId="0" borderId="33" xfId="0" applyBorder="1" applyFont="1"/>
    <xf numFmtId="2" fontId="16" fillId="2" borderId="15" xfId="0" applyBorder="1" applyFont="1" applyNumberFormat="1" applyFill="1"/>
    <xf numFmtId="2" fontId="16" fillId="2" borderId="34" xfId="0" applyBorder="1" applyFont="1" applyNumberFormat="1" applyFill="1"/>
    <xf numFmtId="0" fontId="12" fillId="2" borderId="35" xfId="0" applyBorder="1" applyFont="1" applyFill="1"/>
    <xf numFmtId="0" fontId="12" fillId="2" borderId="21" xfId="0" applyBorder="1" applyFont="1" applyFill="1"/>
    <xf numFmtId="0" fontId="12" fillId="2" borderId="36" xfId="0" applyBorder="1" applyFont="1" applyFill="1"/>
    <xf numFmtId="0" fontId="16" fillId="0" borderId="27" xfId="0" applyBorder="1" applyFont="1"/>
    <xf numFmtId="2" fontId="16" fillId="2" borderId="28" xfId="0" applyBorder="1" applyFont="1" applyNumberFormat="1" applyFill="1"/>
    <xf numFmtId="2" fontId="16" fillId="2" borderId="37" xfId="0" applyBorder="1" applyFont="1" applyNumberFormat="1" applyFill="1"/>
    <xf numFmtId="2" fontId="0" fillId="2" borderId="11" xfId="0" applyBorder="1" applyNumberFormat="1" applyFill="1"/>
    <xf numFmtId="2" fontId="0" fillId="2" borderId="28" xfId="0" applyBorder="1" applyNumberFormat="1" applyFill="1"/>
    <xf numFmtId="2" fontId="0" fillId="2" borderId="37" xfId="0" applyBorder="1" applyNumberFormat="1" applyFill="1"/>
    <xf numFmtId="2" fontId="0" fillId="2" borderId="30" xfId="0" applyBorder="1" applyNumberFormat="1" applyFill="1"/>
    <xf numFmtId="2" fontId="0" fillId="2" borderId="32" xfId="0" applyBorder="1" applyNumberFormat="1" applyFill="1"/>
    <xf numFmtId="2" fontId="0" fillId="2" borderId="33" xfId="0" applyBorder="1" applyNumberFormat="1" applyFill="1"/>
    <xf numFmtId="2" fontId="16" fillId="2" borderId="27" xfId="0" applyBorder="1" applyFont="1" applyNumberFormat="1" applyFill="1"/>
    <xf numFmtId="2" fontId="16" fillId="2" borderId="10" xfId="0" applyBorder="1" applyFont="1" applyNumberFormat="1" applyFill="1"/>
    <xf numFmtId="2" fontId="16" fillId="2" borderId="14" xfId="0" applyBorder="1" applyFont="1" applyNumberFormat="1" applyFill="1"/>
    <xf numFmtId="2" fontId="16" fillId="2" borderId="17" xfId="0" applyBorder="1" applyFont="1" applyNumberFormat="1" applyFill="1"/>
    <xf numFmtId="0" fontId="16" fillId="0" borderId="38" xfId="0" applyBorder="1" applyFont="1"/>
    <xf numFmtId="2" fontId="16" fillId="2" borderId="22" xfId="0" applyBorder="1" applyFont="1" applyNumberFormat="1" applyFill="1"/>
    <xf numFmtId="0" fontId="12" fillId="2" borderId="39" xfId="0" applyBorder="1" applyFont="1" applyFill="1"/>
    <xf numFmtId="0" fontId="16" fillId="0" borderId="40" xfId="0" applyBorder="1" applyFont="1"/>
    <xf numFmtId="0" fontId="16" fillId="0" borderId="41" xfId="0" applyBorder="1" applyFont="1"/>
    <xf numFmtId="0" fontId="16" fillId="0" borderId="42" xfId="0" applyBorder="1" applyFont="1"/>
    <xf numFmtId="0" fontId="12" fillId="2" borderId="1" xfId="0" applyBorder="1" applyFont="1" applyFill="1"/>
    <xf numFmtId="0" fontId="16" fillId="0" borderId="43" xfId="0" applyBorder="1" applyFont="1"/>
    <xf numFmtId="2" fontId="16" fillId="2" borderId="44" xfId="0" applyBorder="1" applyFont="1" applyNumberFormat="1" applyFill="1"/>
    <xf numFmtId="2" fontId="0" fillId="2" borderId="44" xfId="0" applyBorder="1" applyNumberFormat="1" applyFill="1"/>
    <xf numFmtId="2" fontId="0" fillId="2" borderId="17" xfId="0" applyBorder="1" applyNumberFormat="1" applyFill="1"/>
    <xf numFmtId="2" fontId="0" fillId="2" borderId="27" xfId="0" applyBorder="1" applyNumberFormat="1" applyFill="1"/>
    <xf numFmtId="2" fontId="0" fillId="2" borderId="10" xfId="0" applyBorder="1" applyNumberFormat="1" applyFill="1"/>
    <xf numFmtId="2" fontId="0" fillId="2" borderId="38" xfId="0" applyBorder="1" applyNumberFormat="1" applyFill="1"/>
    <xf numFmtId="0" fontId="16" fillId="0" borderId="7" xfId="0" applyBorder="1" applyFont="1"/>
    <xf numFmtId="0" fontId="20" fillId="6" borderId="0" xfId="0" applyAlignment="1" applyFont="1" applyFill="1">
      <alignment horizontal="left" vertical="center"/>
    </xf>
    <xf numFmtId="0" fontId="20" fillId="3" borderId="0" xfId="0" applyAlignment="1" applyFont="1" applyFill="1">
      <alignment horizontal="left" vertical="center"/>
    </xf>
    <xf numFmtId="0" fontId="14" fillId="2" borderId="11" xfId="0" applyAlignment="1" applyBorder="1" applyFont="1" applyFill="1">
      <alignment horizontal="left" vertical="center" wrapText="1"/>
    </xf>
    <xf numFmtId="0" fontId="20" fillId="7" borderId="11" xfId="0" applyAlignment="1" applyBorder="1" applyFont="1" applyFill="1">
      <alignment horizontal="left" vertical="center" wrapText="1"/>
    </xf>
    <xf numFmtId="0" fontId="20" fillId="2" borderId="11" xfId="0" applyAlignment="1" applyBorder="1" applyFont="1" applyFill="1">
      <alignment horizontal="left" vertical="center" wrapText="1"/>
    </xf>
    <xf numFmtId="0" fontId="14" fillId="2" borderId="0" xfId="0" applyAlignment="1" applyFont="1" applyFill="1">
      <alignment vertical="center" wrapText="1"/>
    </xf>
    <xf numFmtId="0" fontId="14" fillId="2" borderId="0" xfId="0" applyAlignment="1" applyFont="1" applyFill="1">
      <alignment horizontal="left" vertical="center" wrapText="1"/>
    </xf>
    <xf numFmtId="0" fontId="20" fillId="4" borderId="0" xfId="0" applyAlignment="1" applyFont="1" applyFill="1">
      <alignment horizontal="left" vertical="center" wrapText="1"/>
    </xf>
    <xf numFmtId="0" fontId="20" fillId="8" borderId="0" xfId="0" applyAlignment="1" applyFont="1" applyFill="1">
      <alignment horizontal="left" vertical="center" wrapText="1"/>
    </xf>
    <xf numFmtId="0" fontId="20" fillId="9" borderId="0" xfId="0" applyAlignment="1" applyFont="1" applyFill="1">
      <alignment horizontal="left" vertical="center" wrapText="1"/>
    </xf>
    <xf numFmtId="0" fontId="20" fillId="10" borderId="0" xfId="0" applyAlignment="1" applyFont="1" applyFill="1">
      <alignment horizontal="left" vertical="center" wrapText="1"/>
    </xf>
    <xf numFmtId="0" fontId="20" fillId="11" borderId="0" xfId="0" applyAlignment="1" applyFont="1" applyFill="1">
      <alignment horizontal="left" vertical="center" wrapText="1"/>
    </xf>
    <xf numFmtId="0" fontId="20" fillId="12" borderId="0" xfId="0" applyAlignment="1" applyFont="1" applyFill="1">
      <alignment horizontal="left" vertical="center" wrapText="1"/>
    </xf>
    <xf numFmtId="0" fontId="20" fillId="13" borderId="0" xfId="0" applyAlignment="1" applyFont="1" applyFill="1">
      <alignment horizontal="left" vertical="center" wrapText="1"/>
    </xf>
    <xf numFmtId="0" fontId="20" fillId="14" borderId="0" xfId="0" applyAlignment="1" applyFont="1" applyFill="1">
      <alignment horizontal="left" vertical="center" wrapText="1"/>
    </xf>
    <xf numFmtId="0" fontId="20" fillId="15" borderId="0" xfId="0" applyAlignment="1" applyFont="1" applyFill="1">
      <alignment horizontal="left" vertical="center" wrapText="1"/>
    </xf>
    <xf numFmtId="0" fontId="20" fillId="16" borderId="0" xfId="0" applyAlignment="1" applyFont="1" applyFill="1">
      <alignment horizontal="left" vertical="center" wrapText="1"/>
    </xf>
    <xf numFmtId="0" fontId="20" fillId="17" borderId="0" xfId="0" applyAlignment="1" applyFont="1" applyFill="1">
      <alignment horizontal="left" vertical="center" wrapText="1"/>
    </xf>
    <xf numFmtId="0" fontId="20" fillId="18" borderId="0" xfId="0" applyAlignment="1" applyFont="1" applyFill="1">
      <alignment horizontal="left" vertical="center" wrapText="1"/>
    </xf>
    <xf numFmtId="0" fontId="20" fillId="19" borderId="0" xfId="0" applyAlignment="1" applyFont="1" applyFill="1">
      <alignment vertical="center"/>
    </xf>
    <xf numFmtId="0" fontId="20" fillId="20" borderId="0" xfId="0" applyAlignment="1" applyFont="1" applyFill="1">
      <alignment horizontal="left" vertical="center" wrapText="1"/>
    </xf>
    <xf numFmtId="0" fontId="20" fillId="21" borderId="0" xfId="0" applyAlignment="1" applyFont="1" applyFill="1">
      <alignment horizontal="left" vertical="center" wrapText="1"/>
    </xf>
    <xf numFmtId="0" fontId="20" fillId="22" borderId="0" xfId="0" applyAlignment="1" applyFont="1" applyFill="1">
      <alignment horizontal="left" vertical="center" wrapText="1"/>
    </xf>
    <xf numFmtId="0" fontId="20" fillId="23" borderId="0" xfId="0" applyAlignment="1" applyFont="1" applyFill="1">
      <alignment horizontal="left" vertical="center" wrapText="1"/>
    </xf>
    <xf numFmtId="0" fontId="20" fillId="24" borderId="0" xfId="0" applyAlignment="1" applyFont="1" applyFill="1">
      <alignment horizontal="left" vertical="center" wrapText="1"/>
    </xf>
    <xf numFmtId="0" fontId="20" fillId="25" borderId="0" xfId="0" applyAlignment="1" applyFont="1" applyFill="1">
      <alignment horizontal="left" vertical="center" wrapText="1"/>
    </xf>
    <xf numFmtId="0" fontId="20" fillId="26" borderId="0" xfId="0" applyAlignment="1" applyFont="1" applyFill="1">
      <alignment horizontal="left" vertical="center" wrapText="1"/>
    </xf>
    <xf numFmtId="0" fontId="20" fillId="27" borderId="0" xfId="0" applyAlignment="1" applyFont="1" applyFill="1">
      <alignment horizontal="left" vertical="center" wrapText="1"/>
    </xf>
    <xf numFmtId="0" fontId="20" fillId="28" borderId="0" xfId="0" applyAlignment="1" applyFont="1" applyFill="1">
      <alignment horizontal="left" vertical="center" wrapText="1"/>
    </xf>
    <xf numFmtId="0" fontId="20" fillId="29" borderId="0" xfId="0" applyAlignment="1" applyFont="1" applyFill="1">
      <alignment horizontal="left" vertical="center" wrapText="1"/>
    </xf>
    <xf numFmtId="0" fontId="20" fillId="30" borderId="0" xfId="0" applyAlignment="1" applyFont="1" applyFill="1">
      <alignment horizontal="left" vertical="center" wrapText="1"/>
    </xf>
    <xf numFmtId="0" fontId="20" fillId="2" borderId="12" xfId="0" applyAlignment="1" applyBorder="1" applyFont="1" applyFill="1">
      <alignment horizontal="left" vertical="center" wrapText="1"/>
    </xf>
    <xf numFmtId="0" fontId="20" fillId="31" borderId="0" xfId="0" applyAlignment="1" applyFont="1" applyFill="1">
      <alignment horizontal="left" vertical="center" wrapText="1"/>
    </xf>
    <xf numFmtId="0" fontId="20" fillId="32" borderId="0" xfId="0" applyAlignment="1" applyFont="1" applyFill="1">
      <alignment horizontal="left" vertical="center" wrapText="1"/>
    </xf>
    <xf numFmtId="0" fontId="20" fillId="33" borderId="0" xfId="0" applyAlignment="1" applyFont="1" applyFill="1">
      <alignment horizontal="left" vertical="center" wrapText="1"/>
    </xf>
    <xf numFmtId="0" fontId="5" fillId="2" borderId="0" xfId="0" applyFont="1" applyFill="1"/>
    <xf numFmtId="0" fontId="20" fillId="2" borderId="0" xfId="0" applyFont="1" applyFill="1"/>
    <xf numFmtId="0" fontId="22" fillId="2" borderId="0" xfId="0" applyAlignment="1" applyFont="1" applyFill="1">
      <alignment horizontal="left" vertical="top" indent="2"/>
    </xf>
    <xf numFmtId="0" fontId="20" fillId="0" borderId="0" xfId="0" applyFont="1"/>
    <xf numFmtId="0" fontId="14" fillId="2" borderId="0" xfId="0" applyFont="1" applyFill="1"/>
    <xf numFmtId="0" fontId="20" fillId="2" borderId="0" xfId="0" applyAlignment="1" applyFont="1" applyFill="1">
      <alignment horizontal="center"/>
    </xf>
    <xf numFmtId="0" fontId="14" fillId="2" borderId="11" xfId="0" applyBorder="1" applyFont="1" applyFill="1" applyProtection="1">
      <protection locked="0"/>
    </xf>
    <xf numFmtId="0" fontId="20" fillId="2" borderId="4" xfId="0" applyBorder="1" applyFont="1" applyFill="1"/>
    <xf numFmtId="0" fontId="14" fillId="2" borderId="0" xfId="0" applyAlignment="1" applyFont="1" applyFill="1">
      <alignment horizontal="center" vertical="center" wrapText="1"/>
    </xf>
    <xf numFmtId="0" fontId="20" fillId="2" borderId="5" xfId="0" applyBorder="1" applyFont="1" applyFill="1"/>
    <xf numFmtId="0" fontId="26" fillId="2" borderId="0" xfId="0" applyAlignment="1" applyFont="1" applyFill="1">
      <alignment horizontal="left" vertical="top" wrapText="1"/>
    </xf>
    <xf numFmtId="0" fontId="26" fillId="2" borderId="0" xfId="0" applyAlignment="1" applyFont="1" applyFill="1">
      <alignment horizontal="left" vertical="center" wrapText="1"/>
    </xf>
    <xf numFmtId="0" fontId="20" fillId="6" borderId="0" xfId="0" applyAlignment="1" applyFont="1" applyFill="1" applyProtection="1">
      <alignment horizontal="center" vertical="center"/>
      <protection locked="0"/>
    </xf>
    <xf numFmtId="0" fontId="20" fillId="2" borderId="0" xfId="0" applyAlignment="1" applyFont="1" applyFill="1" applyProtection="1">
      <alignment horizontal="center" vertical="center"/>
      <protection locked="0"/>
    </xf>
    <xf numFmtId="0" fontId="20" fillId="2" borderId="0" xfId="0" applyAlignment="1" applyFont="1" applyFill="1">
      <alignment horizontal="right" vertical="center"/>
    </xf>
    <xf numFmtId="0" fontId="20" fillId="0" borderId="0" xfId="0" applyAlignment="1" applyFont="1">
      <alignment horizontal="center" vertical="center"/>
    </xf>
    <xf numFmtId="0" fontId="28" fillId="2" borderId="0" xfId="0" applyAlignment="1" applyFont="1" applyFill="1">
      <alignment vertical="center"/>
    </xf>
    <xf numFmtId="0" fontId="20" fillId="3" borderId="0" xfId="0" applyAlignment="1" applyFont="1" applyFill="1">
      <alignment horizontal="center" vertical="center"/>
    </xf>
    <xf numFmtId="0" fontId="20" fillId="2" borderId="0" xfId="0" applyAlignment="1" applyFont="1" applyFill="1">
      <alignment horizontal="right" vertical="center" wrapText="1"/>
    </xf>
    <xf numFmtId="1" fontId="14" fillId="2" borderId="0" xfId="0" applyAlignment="1" applyFont="1" applyNumberFormat="1" applyFill="1">
      <alignment horizontal="center" vertical="center"/>
    </xf>
    <xf numFmtId="0" fontId="14" fillId="2" borderId="0" xfId="0" applyAlignment="1" applyFont="1" applyFill="1">
      <alignment horizontal="right" vertical="center"/>
    </xf>
    <xf numFmtId="0" fontId="20" fillId="2" borderId="45" xfId="0" applyAlignment="1" applyBorder="1" applyFont="1" applyFill="1">
      <alignment vertical="center"/>
    </xf>
    <xf numFmtId="0" fontId="14" fillId="2" borderId="45" xfId="0" applyAlignment="1" applyBorder="1" applyFont="1" applyFill="1">
      <alignment horizontal="left" vertical="center" wrapText="1"/>
    </xf>
    <xf numFmtId="1" fontId="14" fillId="2" borderId="45" xfId="0" applyAlignment="1" applyBorder="1" applyFont="1" applyNumberFormat="1" applyFill="1">
      <alignment horizontal="center" vertical="center"/>
    </xf>
    <xf numFmtId="0" fontId="14" fillId="2" borderId="45" xfId="0" applyAlignment="1" applyBorder="1" applyFont="1" applyFill="1">
      <alignment horizontal="right" vertical="center"/>
    </xf>
    <xf numFmtId="0" fontId="20" fillId="0" borderId="7" xfId="0" applyBorder="1" applyFont="1"/>
    <xf numFmtId="0" fontId="20" fillId="0" borderId="8" xfId="0" applyBorder="1" applyFont="1"/>
    <xf numFmtId="0" fontId="26" fillId="2" borderId="0" xfId="0" applyAlignment="1" applyFont="1" applyFill="1">
      <alignment vertical="center" wrapText="1"/>
    </xf>
    <xf numFmtId="0" fontId="26" fillId="2" borderId="0" xfId="0" applyAlignment="1" applyFont="1" applyFill="1">
      <alignment vertical="top" wrapText="1"/>
    </xf>
    <xf numFmtId="0" fontId="20" fillId="0" borderId="7" xfId="0" applyAlignment="1" applyBorder="1" applyFont="1">
      <alignment horizontal="center" vertical="center"/>
    </xf>
    <xf numFmtId="0" fontId="20" fillId="6" borderId="0" xfId="0" applyAlignment="1" applyFont="1" applyFill="1" applyProtection="1">
      <alignment horizontal="center" vertical="center" wrapText="1"/>
      <protection locked="0"/>
    </xf>
    <xf numFmtId="0" fontId="20" fillId="2" borderId="12" xfId="0" applyAlignment="1" applyBorder="1" applyFont="1" applyFill="1">
      <alignment vertical="center"/>
    </xf>
    <xf numFmtId="0" fontId="20" fillId="2" borderId="46" xfId="0" applyAlignment="1" applyBorder="1" applyFont="1" applyFill="1">
      <alignment vertical="center"/>
    </xf>
    <xf numFmtId="0" fontId="20" fillId="6" borderId="0" xfId="0" applyAlignment="1" applyFont="1" applyFill="1" applyProtection="1">
      <alignment vertical="center"/>
      <protection locked="0"/>
    </xf>
    <xf numFmtId="0" fontId="20" fillId="2" borderId="0" xfId="0" applyAlignment="1" applyFont="1" applyFill="1" applyProtection="1">
      <alignment vertical="center"/>
      <protection locked="0"/>
    </xf>
    <xf numFmtId="1" fontId="20" fillId="6" borderId="0" xfId="0" applyAlignment="1" applyFont="1" applyNumberFormat="1" applyFill="1" applyProtection="1">
      <alignment horizontal="center" vertical="center"/>
      <protection locked="0"/>
    </xf>
    <xf numFmtId="1" fontId="20" fillId="2" borderId="0" xfId="0" applyAlignment="1" applyFont="1" applyNumberFormat="1" applyFill="1" applyProtection="1">
      <alignment horizontal="center" vertical="center"/>
      <protection locked="0"/>
    </xf>
    <xf numFmtId="2" fontId="20" fillId="2" borderId="0" xfId="0" applyAlignment="1" applyFont="1" applyNumberFormat="1" applyFill="1">
      <alignment horizontal="center" vertical="center"/>
    </xf>
    <xf numFmtId="1" fontId="20" fillId="2" borderId="0" xfId="0" applyAlignment="1" applyFont="1" applyNumberFormat="1" applyFill="1">
      <alignment vertical="center"/>
    </xf>
    <xf numFmtId="2" fontId="20" fillId="34" borderId="0" xfId="0" applyAlignment="1" applyFont="1" applyNumberFormat="1" applyFill="1">
      <alignment horizontal="center" vertical="center"/>
    </xf>
    <xf numFmtId="2" fontId="20" fillId="34" borderId="0" xfId="0" applyAlignment="1" applyFont="1" applyNumberFormat="1" applyFill="1">
      <alignment horizontal="center" vertical="center" wrapText="1"/>
    </xf>
    <xf numFmtId="2" fontId="20" fillId="3" borderId="0" xfId="0" applyAlignment="1" applyFont="1" applyNumberFormat="1" applyFill="1">
      <alignment horizontal="center" vertical="center"/>
    </xf>
    <xf numFmtId="2" fontId="14" fillId="2" borderId="0" xfId="0" applyAlignment="1" applyFont="1" applyNumberFormat="1" applyFill="1">
      <alignment horizontal="center" vertical="center"/>
    </xf>
    <xf numFmtId="0" fontId="26" fillId="2" borderId="45" xfId="0" applyAlignment="1" applyBorder="1" applyFont="1" applyFill="1">
      <alignment horizontal="left" vertical="center" wrapText="1"/>
    </xf>
    <xf numFmtId="0" fontId="20" fillId="2" borderId="7" xfId="0" applyBorder="1" applyFont="1" applyFill="1"/>
    <xf numFmtId="0" fontId="20" fillId="2" borderId="46" xfId="0" applyBorder="1" applyFont="1" applyFill="1"/>
    <xf numFmtId="2" fontId="14" fillId="3" borderId="0" xfId="0" applyAlignment="1" applyFont="1" applyNumberFormat="1" applyFill="1">
      <alignment horizontal="center" vertical="center"/>
    </xf>
    <xf numFmtId="0" fontId="20" fillId="2" borderId="6" xfId="0" applyBorder="1" applyFont="1" applyFill="1"/>
    <xf numFmtId="0" fontId="20" fillId="2" borderId="8" xfId="0" applyBorder="1" applyFont="1" applyFill="1"/>
    <xf numFmtId="2" fontId="25" fillId="0" borderId="0" xfId="0" applyAlignment="1" applyFont="1" applyNumberFormat="1" applyProtection="1">
      <alignment horizontal="center" vertical="center"/>
      <protection locked="0"/>
    </xf>
    <xf numFmtId="2" fontId="20" fillId="2" borderId="0" xfId="0" applyAlignment="1" applyFont="1" applyNumberFormat="1" applyFill="1" applyProtection="1">
      <alignment horizontal="center" vertical="center"/>
      <protection locked="0"/>
    </xf>
    <xf numFmtId="0" fontId="20" fillId="2" borderId="0" xfId="0" applyAlignment="1" applyFont="1" applyFill="1">
      <alignment wrapText="1"/>
    </xf>
    <xf numFmtId="0" fontId="20" fillId="2" borderId="0" xfId="0" applyAlignment="1" applyFont="1" applyFill="1">
      <alignment horizontal="center" wrapText="1"/>
    </xf>
    <xf numFmtId="0" fontId="26" fillId="2" borderId="46" xfId="0" applyAlignment="1" applyBorder="1" applyFont="1" applyFill="1">
      <alignment horizontal="left" vertical="center" wrapText="1"/>
    </xf>
    <xf numFmtId="0" fontId="14" fillId="2" borderId="0" xfId="0" applyAlignment="1" applyFont="1" applyFill="1">
      <alignment horizontal="center" vertical="center"/>
    </xf>
    <xf numFmtId="166" fontId="20" fillId="6" borderId="0" xfId="0" applyAlignment="1" applyFont="1" applyNumberFormat="1" applyFill="1" applyProtection="1">
      <alignment horizontal="center" vertical="center"/>
      <protection locked="0"/>
    </xf>
    <xf numFmtId="2" fontId="20" fillId="34" borderId="0" xfId="0" applyAlignment="1" applyFont="1" applyNumberFormat="1" applyFill="1">
      <alignment vertical="center"/>
    </xf>
    <xf numFmtId="2" fontId="20" fillId="35" borderId="0" xfId="0" applyAlignment="1" applyFont="1" applyNumberFormat="1" applyFill="1">
      <alignment vertical="center"/>
    </xf>
    <xf numFmtId="2" fontId="20" fillId="34" borderId="0" xfId="0" applyFont="1" applyNumberFormat="1" applyFill="1"/>
    <xf numFmtId="0" fontId="20" fillId="35" borderId="0" xfId="0" applyAlignment="1" applyFont="1" applyFill="1">
      <alignment vertical="center"/>
    </xf>
    <xf numFmtId="2" fontId="20" fillId="34" borderId="0" xfId="0" applyAlignment="1" applyFont="1" applyNumberFormat="1" applyFill="1">
      <alignment wrapText="1"/>
    </xf>
    <xf numFmtId="2" fontId="5" fillId="35" borderId="0" xfId="0" applyFont="1" applyNumberFormat="1" applyFill="1"/>
    <xf numFmtId="2" fontId="20" fillId="35" borderId="0" xfId="0" applyFont="1" applyNumberFormat="1" applyFill="1"/>
    <xf numFmtId="166" fontId="14" fillId="3" borderId="0" xfId="0" applyAlignment="1" applyFont="1" applyNumberFormat="1" applyFill="1">
      <alignment horizontal="center" vertical="center"/>
    </xf>
    <xf numFmtId="2" fontId="14" fillId="34" borderId="0" xfId="0" applyAlignment="1" applyFont="1" applyNumberFormat="1" applyFill="1">
      <alignment vertical="center"/>
    </xf>
    <xf numFmtId="0" fontId="14" fillId="35" borderId="0" xfId="0" applyAlignment="1" applyFont="1" applyFill="1">
      <alignment vertical="center"/>
    </xf>
    <xf numFmtId="2" fontId="14" fillId="34" borderId="0" xfId="0" applyAlignment="1" applyFont="1" applyNumberFormat="1" applyFill="1">
      <alignment horizontal="center" vertical="center"/>
    </xf>
    <xf numFmtId="0" fontId="20" fillId="2" borderId="0" xfId="0" applyAlignment="1" applyFont="1" applyFill="1">
      <alignment horizontal="right"/>
    </xf>
    <xf numFmtId="2" fontId="14" fillId="3" borderId="0" xfId="0" applyAlignment="1" applyFont="1" applyNumberFormat="1" applyFill="1">
      <alignment horizontal="center" vertical="center" wrapText="1"/>
    </xf>
    <xf numFmtId="0" fontId="5" fillId="2" borderId="7" xfId="0" applyBorder="1" applyFont="1" applyFill="1"/>
    <xf numFmtId="0" fontId="5" fillId="2" borderId="5" xfId="0" applyBorder="1" applyFont="1" applyFill="1"/>
    <xf numFmtId="0" fontId="20" fillId="36" borderId="0" xfId="0" applyAlignment="1" applyFont="1" applyFill="1">
      <alignment horizontal="left" vertical="center"/>
    </xf>
    <xf numFmtId="0" fontId="20" fillId="36" borderId="0" xfId="0" applyAlignment="1" applyFont="1" applyFill="1">
      <alignment horizontal="right" vertical="center"/>
    </xf>
    <xf numFmtId="0" fontId="20" fillId="36" borderId="0" xfId="0" applyAlignment="1" applyFont="1" applyFill="1">
      <alignment horizontal="right" vertical="center" wrapText="1"/>
    </xf>
    <xf numFmtId="2" fontId="20" fillId="36" borderId="0" xfId="0" applyAlignment="1" applyFont="1" applyNumberFormat="1" applyFill="1">
      <alignment horizontal="right" vertical="center"/>
    </xf>
    <xf numFmtId="2" fontId="14" fillId="35" borderId="0" xfId="0" applyAlignment="1" applyFont="1" applyNumberFormat="1" applyFill="1">
      <alignment horizontal="center" vertical="center"/>
    </xf>
    <xf numFmtId="0" fontId="20" fillId="37" borderId="0" xfId="0" applyAlignment="1" applyFont="1" applyFill="1">
      <alignment horizontal="left" vertical="center"/>
    </xf>
    <xf numFmtId="2" fontId="20" fillId="37" borderId="0" xfId="0" applyAlignment="1" applyFont="1" applyNumberFormat="1" applyFill="1">
      <alignment horizontal="right" vertical="center"/>
    </xf>
    <xf numFmtId="2" fontId="14" fillId="0" borderId="0" xfId="0" applyAlignment="1" applyFont="1" applyNumberFormat="1">
      <alignment horizontal="center" vertical="center"/>
    </xf>
    <xf numFmtId="0" fontId="26" fillId="2" borderId="0" xfId="0" applyAlignment="1" applyFont="1" applyFill="1">
      <alignment horizontal="left" vertical="center"/>
    </xf>
    <xf numFmtId="0" fontId="5" fillId="2" borderId="8" xfId="0" applyBorder="1" applyFont="1" applyFill="1"/>
    <xf numFmtId="0" fontId="20" fillId="2" borderId="2" xfId="0" applyBorder="1" applyFont="1" applyFill="1"/>
    <xf numFmtId="0" fontId="20" fillId="2" borderId="3" xfId="0" applyBorder="1" applyFont="1" applyFill="1"/>
    <xf numFmtId="0" fontId="20" fillId="0" borderId="6" xfId="0" applyBorder="1" applyFont="1"/>
    <xf numFmtId="0" fontId="20" fillId="2" borderId="47" xfId="0" applyBorder="1" applyFont="1" applyFill="1"/>
    <xf numFmtId="0" fontId="20" fillId="2" borderId="48" xfId="0" applyAlignment="1" applyBorder="1" applyFont="1" applyFill="1">
      <alignment vertical="center"/>
    </xf>
    <xf numFmtId="0" fontId="26" fillId="2" borderId="0" xfId="0" applyAlignment="1" applyFont="1" applyFill="1">
      <alignment horizontal="center" vertical="center" wrapText="1"/>
    </xf>
    <xf numFmtId="166" fontId="14" fillId="34" borderId="0" xfId="0" applyAlignment="1" applyFont="1" applyNumberFormat="1" applyFill="1">
      <alignment horizontal="center" vertical="center"/>
    </xf>
    <xf numFmtId="2" fontId="14" fillId="2" borderId="0" xfId="0" applyAlignment="1" applyFont="1" applyNumberFormat="1" applyFill="1">
      <alignment vertical="center"/>
    </xf>
    <xf numFmtId="0" fontId="20" fillId="2" borderId="45" xfId="0" applyBorder="1" applyFont="1" applyFill="1"/>
    <xf numFmtId="0" fontId="20" fillId="2" borderId="7" xfId="0" applyAlignment="1" applyBorder="1" applyFont="1" applyFill="1">
      <alignment vertical="center"/>
    </xf>
    <xf numFmtId="0" fontId="20" fillId="2" borderId="49" xfId="0" applyAlignment="1" applyBorder="1" applyFont="1" applyFill="1">
      <alignment vertical="center"/>
    </xf>
    <xf numFmtId="0" fontId="20" fillId="2" borderId="5" xfId="0" applyAlignment="1" applyBorder="1" applyFont="1" applyFill="1">
      <alignment vertical="center"/>
    </xf>
    <xf numFmtId="166" fontId="20" fillId="3" borderId="0" xfId="0" applyAlignment="1" applyFont="1" applyNumberFormat="1" applyFill="1">
      <alignment horizontal="center" vertical="center"/>
    </xf>
    <xf numFmtId="166" fontId="20" fillId="2" borderId="0" xfId="0" applyAlignment="1" applyFont="1" applyNumberFormat="1" applyFill="1">
      <alignment horizontal="center" vertical="center"/>
    </xf>
    <xf numFmtId="2" fontId="20" fillId="0" borderId="0" xfId="0" applyAlignment="1" applyFont="1" applyNumberFormat="1">
      <alignment vertical="center"/>
    </xf>
    <xf numFmtId="2" fontId="20" fillId="6" borderId="0" xfId="0" applyAlignment="1" applyFont="1" applyNumberFormat="1" applyFill="1" applyProtection="1">
      <alignment horizontal="center" vertical="center"/>
      <protection locked="0"/>
    </xf>
    <xf numFmtId="2" fontId="20" fillId="2" borderId="0" xfId="0" applyAlignment="1" applyFont="1" applyNumberFormat="1" applyFill="1">
      <alignment horizontal="right" vertical="center"/>
    </xf>
    <xf numFmtId="166" fontId="14" fillId="2" borderId="0" xfId="0" applyAlignment="1" applyFont="1" applyNumberFormat="1" applyFill="1">
      <alignment horizontal="center" vertical="center"/>
    </xf>
    <xf numFmtId="166" fontId="20" fillId="2" borderId="0" xfId="0" applyAlignment="1" applyFont="1" applyNumberFormat="1" applyFill="1" applyProtection="1">
      <alignment horizontal="center" vertical="center"/>
      <protection locked="0"/>
    </xf>
    <xf numFmtId="2" fontId="20" fillId="2" borderId="0" xfId="0" applyAlignment="1" applyFont="1" applyNumberFormat="1" applyFill="1">
      <alignment vertical="center"/>
    </xf>
    <xf numFmtId="0" fontId="20" fillId="0" borderId="8" xfId="0" applyAlignment="1" applyBorder="1" applyFont="1">
      <alignment vertical="center"/>
    </xf>
    <xf numFmtId="2" fontId="20" fillId="2" borderId="0" xfId="0" applyFont="1" applyNumberFormat="1" applyFill="1"/>
    <xf numFmtId="0" fontId="20" fillId="2" borderId="2" xfId="0" applyAlignment="1" applyBorder="1" applyFont="1" applyFill="1">
      <alignment vertical="center"/>
    </xf>
    <xf numFmtId="166" fontId="20" fillId="3" borderId="0" xfId="0" applyAlignment="1" applyFont="1" applyNumberFormat="1" applyFill="1">
      <alignment horizontal="center" vertical="center" wrapText="1"/>
    </xf>
    <xf numFmtId="0" fontId="26" fillId="2" borderId="7" xfId="0" applyAlignment="1" applyBorder="1" applyFont="1" applyFill="1">
      <alignment horizontal="left" vertical="center" wrapText="1"/>
    </xf>
    <xf numFmtId="1" fontId="20" fillId="3" borderId="0" xfId="0" applyAlignment="1" applyFont="1" applyNumberFormat="1" applyFill="1">
      <alignment vertical="center"/>
    </xf>
    <xf numFmtId="2" fontId="20" fillId="2" borderId="0" xfId="0" applyAlignment="1" applyFont="1" applyNumberFormat="1" applyFill="1">
      <alignment horizontal="center"/>
    </xf>
    <xf numFmtId="2" fontId="20" fillId="3" borderId="0" xfId="0" applyAlignment="1" applyFont="1" applyNumberFormat="1" applyFill="1">
      <alignment vertical="center"/>
    </xf>
    <xf numFmtId="2" fontId="20" fillId="2" borderId="0" xfId="0" applyAlignment="1" applyFont="1" applyNumberFormat="1" applyFill="1">
      <alignment horizontal="right"/>
    </xf>
    <xf numFmtId="165" fontId="14" fillId="3" borderId="0" xfId="0" applyAlignment="1" applyFont="1" applyNumberFormat="1" applyFill="1">
      <alignment vertical="center"/>
    </xf>
    <xf numFmtId="0" fontId="14" fillId="2" borderId="0" xfId="0" applyAlignment="1" applyFont="1" applyFill="1">
      <alignment horizontal="right"/>
    </xf>
    <xf numFmtId="2" fontId="16" fillId="0" borderId="0" xfId="0" applyAlignment="1" applyFont="1" applyNumberFormat="1">
      <alignment horizontal="center"/>
    </xf>
    <xf numFmtId="165" fontId="21" fillId="0" borderId="0" xfId="0" applyAlignment="1" applyFont="1" applyNumberFormat="1">
      <alignment horizontal="center"/>
    </xf>
    <xf numFmtId="2" fontId="21" fillId="0" borderId="0" xfId="0" applyAlignment="1" applyFont="1" applyNumberFormat="1">
      <alignment horizontal="left"/>
    </xf>
    <xf numFmtId="165" fontId="21" fillId="0" borderId="0" xfId="0" applyAlignment="1" applyFont="1" applyNumberFormat="1">
      <alignment horizontal="left"/>
    </xf>
    <xf numFmtId="0" fontId="16" fillId="38" borderId="0" xfId="0" applyFont="1" applyFill="1"/>
    <xf numFmtId="0" fontId="16" fillId="4" borderId="0" xfId="0" applyFont="1" applyFill="1"/>
    <xf numFmtId="165" fontId="16" fillId="0" borderId="0" xfId="0" applyAlignment="1" applyFont="1" applyNumberFormat="1">
      <alignment horizontal="center" wrapText="1"/>
    </xf>
    <xf numFmtId="0" fontId="14" fillId="2" borderId="0" xfId="0" applyAlignment="1" applyFont="1" applyFill="1" applyProtection="1">
      <alignment vertical="center"/>
      <protection locked="0"/>
    </xf>
    <xf numFmtId="0" fontId="22" fillId="7" borderId="11" xfId="4" applyAlignment="1" applyBorder="1" applyFont="1" applyFill="1" applyProtection="1">
      <alignment horizontal="left" vertical="center"/>
    </xf>
    <xf numFmtId="1" fontId="14" fillId="34" borderId="0" xfId="0" applyAlignment="1" applyFont="1" applyNumberFormat="1" applyFill="1" applyProtection="1">
      <alignment horizontal="center" vertical="center"/>
      <protection locked="0"/>
    </xf>
    <xf numFmtId="1" fontId="14" fillId="3" borderId="0" xfId="0" applyAlignment="1" applyFont="1" applyNumberFormat="1" applyFill="1">
      <alignment horizontal="center" vertical="center"/>
    </xf>
    <xf numFmtId="0" fontId="20" fillId="6" borderId="0" xfId="0" applyFont="1" applyFill="1" applyProtection="1">
      <protection locked="0"/>
    </xf>
    <xf numFmtId="2" fontId="20" fillId="0" borderId="0" xfId="0" applyFont="1" applyNumberFormat="1"/>
    <xf numFmtId="0" fontId="20" fillId="0" borderId="11" xfId="0" applyAlignment="1" applyBorder="1" applyFont="1">
      <alignment horizontal="left" vertical="center" wrapText="1"/>
    </xf>
    <xf numFmtId="2" fontId="20" fillId="39" borderId="0" xfId="0" applyAlignment="1" applyFont="1" applyNumberFormat="1" applyFill="1">
      <alignment horizontal="center" vertical="center"/>
    </xf>
    <xf numFmtId="2" fontId="14" fillId="39" borderId="0" xfId="0" applyAlignment="1" applyFont="1" applyNumberFormat="1" applyFill="1">
      <alignment horizontal="center" vertical="center"/>
    </xf>
    <xf numFmtId="0" fontId="20" fillId="39" borderId="0" xfId="0" applyAlignment="1" applyFont="1" applyFill="1">
      <alignment horizontal="center" vertical="center"/>
    </xf>
    <xf numFmtId="0" fontId="20" fillId="39" borderId="0" xfId="0" applyAlignment="1" applyFont="1" applyFill="1">
      <alignment horizontal="left" vertical="center"/>
    </xf>
    <xf numFmtId="2" fontId="13" fillId="0" borderId="0" xfId="4" applyBorder="1" applyFont="1" applyNumberFormat="1" applyFill="1"/>
    <xf numFmtId="0" fontId="1" fillId="0" borderId="0" xfId="0" applyFont="1"/>
    <xf numFmtId="2" fontId="21" fillId="0" borderId="15" xfId="0" applyAlignment="1" applyBorder="1" applyFont="1" applyNumberFormat="1">
      <alignment horizontal="left"/>
    </xf>
    <xf numFmtId="2" fontId="30" fillId="5" borderId="11" xfId="0" applyAlignment="1" applyBorder="1" applyFont="1" applyNumberFormat="1" applyFill="1">
      <alignment horizontal="left"/>
    </xf>
    <xf numFmtId="2" fontId="31" fillId="5" borderId="11" xfId="0" applyAlignment="1" applyBorder="1" applyFont="1" applyNumberFormat="1" applyFill="1">
      <alignment horizontal="center"/>
    </xf>
    <xf numFmtId="0" fontId="31" fillId="0" borderId="11" xfId="0" applyAlignment="1" applyBorder="1" applyFont="1">
      <alignment horizontal="left" vertical="center"/>
    </xf>
    <xf numFmtId="2" fontId="21" fillId="32" borderId="11" xfId="0" applyAlignment="1" applyBorder="1" applyFont="1" applyNumberFormat="1" applyFill="1">
      <alignment horizontal="left"/>
    </xf>
    <xf numFmtId="2" fontId="21" fillId="5" borderId="15" xfId="0" applyAlignment="1" applyBorder="1" applyFont="1" applyNumberFormat="1" applyFill="1">
      <alignment horizontal="left"/>
    </xf>
    <xf numFmtId="2" fontId="21" fillId="5" borderId="9" xfId="0" applyAlignment="1" applyBorder="1" applyFont="1" applyNumberFormat="1" applyFill="1">
      <alignment horizontal="left"/>
    </xf>
    <xf numFmtId="2" fontId="30" fillId="5" borderId="15" xfId="0" applyAlignment="1" applyBorder="1" applyFont="1" applyNumberFormat="1" applyFill="1">
      <alignment horizontal="left"/>
    </xf>
    <xf numFmtId="0" fontId="16" fillId="37" borderId="0" xfId="0" applyFont="1" applyFill="1"/>
    <xf numFmtId="2" fontId="21" fillId="37" borderId="11" xfId="0" applyAlignment="1" applyBorder="1" applyFont="1" applyNumberFormat="1" applyFill="1">
      <alignment horizontal="center"/>
    </xf>
    <xf numFmtId="2" fontId="21" fillId="37" borderId="11" xfId="0" applyAlignment="1" applyBorder="1" applyFont="1" applyNumberFormat="1" applyFill="1">
      <alignment horizontal="left"/>
    </xf>
    <xf numFmtId="2" fontId="16" fillId="37" borderId="11" xfId="0" applyAlignment="1" applyBorder="1" applyFont="1" applyNumberFormat="1" applyFill="1">
      <alignment horizontal="center"/>
    </xf>
    <xf numFmtId="2" fontId="16" fillId="37" borderId="13" xfId="0" applyAlignment="1" applyBorder="1" applyFont="1" applyNumberFormat="1" applyFill="1">
      <alignment horizontal="center"/>
    </xf>
    <xf numFmtId="0" fontId="20" fillId="32" borderId="11" xfId="0" applyAlignment="1" applyBorder="1" applyFont="1" applyFill="1">
      <alignment horizontal="left" vertical="center" wrapText="1"/>
    </xf>
    <xf numFmtId="2" fontId="31" fillId="5" borderId="11" xfId="0" applyAlignment="1" applyBorder="1" applyFont="1" applyNumberFormat="1" applyFill="1">
      <alignment horizontal="left"/>
    </xf>
    <xf numFmtId="0" fontId="20" fillId="0" borderId="0" xfId="0" applyAlignment="1" applyFont="1">
      <alignment horizontal="left" vertical="center"/>
    </xf>
    <xf numFmtId="0" fontId="14" fillId="2" borderId="0" xfId="0" applyAlignment="1" applyFont="1" applyFill="1">
      <alignment horizontal="left"/>
    </xf>
    <xf numFmtId="0" fontId="20" fillId="2" borderId="18" xfId="0" applyAlignment="1" applyBorder="1" applyFont="1" applyFill="1">
      <alignment vertical="center" wrapText="1"/>
    </xf>
    <xf numFmtId="0" fontId="20" fillId="2" borderId="50" xfId="0" applyAlignment="1" applyBorder="1" applyFont="1" applyFill="1">
      <alignment vertical="center" wrapText="1"/>
    </xf>
    <xf numFmtId="0" fontId="20" fillId="2" borderId="17" xfId="0" applyAlignment="1" applyBorder="1" applyFont="1" applyFill="1">
      <alignment vertical="center" wrapText="1"/>
    </xf>
    <xf numFmtId="0" fontId="20" fillId="7" borderId="18" xfId="0" applyAlignment="1" applyBorder="1" applyFont="1" applyFill="1">
      <alignment vertical="center" wrapText="1"/>
    </xf>
    <xf numFmtId="0" fontId="20" fillId="7" borderId="50" xfId="0" applyAlignment="1" applyBorder="1" applyFont="1" applyFill="1">
      <alignment vertical="center" wrapText="1"/>
    </xf>
    <xf numFmtId="0" fontId="20" fillId="7" borderId="17" xfId="0" applyAlignment="1" applyBorder="1" applyFont="1" applyFill="1">
      <alignment vertical="center" wrapText="1"/>
    </xf>
    <xf numFmtId="0" fontId="22" fillId="7" borderId="11" xfId="4" applyAlignment="1" applyBorder="1" applyFont="1" applyFill="1" applyProtection="1">
      <alignment vertical="center"/>
    </xf>
    <xf numFmtId="0" fontId="14" fillId="2" borderId="11" xfId="0" applyAlignment="1" applyBorder="1" applyFont="1" applyFill="1">
      <alignment horizontal="center" vertical="center"/>
    </xf>
    <xf numFmtId="0" fontId="20" fillId="0" borderId="0" xfId="0" applyAlignment="1" applyFont="1">
      <alignment horizontal="left" vertical="center" wrapText="1"/>
    </xf>
    <xf numFmtId="0" fontId="20" fillId="0" borderId="11" xfId="0" applyAlignment="1" applyBorder="1" applyFont="1">
      <alignment horizontal="left" vertical="center"/>
    </xf>
    <xf numFmtId="0" fontId="20" fillId="2" borderId="11" xfId="0" applyAlignment="1" applyBorder="1" applyFont="1" applyFill="1">
      <alignment horizontal="left" vertical="center"/>
    </xf>
    <xf numFmtId="0" fontId="14" fillId="2" borderId="0" xfId="0" applyAlignment="1" applyFont="1" applyFill="1" applyProtection="1">
      <alignment horizontal="left" vertical="center" wrapText="1"/>
      <protection locked="0"/>
    </xf>
    <xf numFmtId="0" fontId="20" fillId="2" borderId="18" xfId="0" applyAlignment="1" applyBorder="1" applyFont="1" applyFill="1">
      <alignment horizontal="left" vertical="center"/>
    </xf>
    <xf numFmtId="0" fontId="20" fillId="2" borderId="50" xfId="0" applyAlignment="1" applyBorder="1" applyFont="1" applyFill="1">
      <alignment horizontal="left" vertical="center"/>
    </xf>
    <xf numFmtId="0" fontId="20" fillId="2" borderId="17" xfId="0" applyAlignment="1" applyBorder="1" applyFont="1" applyFill="1">
      <alignment horizontal="left" vertical="center"/>
    </xf>
    <xf numFmtId="0" fontId="20" fillId="0" borderId="18" xfId="0" applyAlignment="1" applyBorder="1" applyFont="1">
      <alignment horizontal="left" vertical="center"/>
    </xf>
    <xf numFmtId="0" fontId="20" fillId="0" borderId="50" xfId="0" applyAlignment="1" applyBorder="1" applyFont="1">
      <alignment horizontal="left" vertical="center"/>
    </xf>
    <xf numFmtId="0" fontId="20" fillId="0" borderId="17" xfId="0" applyAlignment="1" applyBorder="1" applyFont="1">
      <alignment horizontal="left" vertical="center"/>
    </xf>
    <xf numFmtId="0" fontId="20" fillId="0" borderId="0" xfId="0" applyAlignment="1" applyFont="1">
      <alignment horizontal="left" vertical="top" wrapText="1"/>
    </xf>
    <xf numFmtId="0" fontId="20" fillId="2" borderId="11" xfId="0" applyAlignment="1" applyBorder="1" applyFont="1" applyFill="1">
      <alignment vertical="center" wrapText="1"/>
    </xf>
    <xf numFmtId="0" fontId="20" fillId="7" borderId="11" xfId="0" applyAlignment="1" applyBorder="1" applyFont="1" applyFill="1">
      <alignment vertical="center" wrapText="1"/>
    </xf>
    <xf numFmtId="0" fontId="14" fillId="2" borderId="16" xfId="0" applyAlignment="1" applyBorder="1" applyFont="1" applyFill="1">
      <alignment horizontal="center" vertical="center" wrapText="1"/>
    </xf>
    <xf numFmtId="0" fontId="14" fillId="2" borderId="45" xfId="0" applyAlignment="1" applyBorder="1" applyFont="1" applyFill="1">
      <alignment horizontal="center" vertical="center" wrapText="1"/>
    </xf>
    <xf numFmtId="0" fontId="22" fillId="2" borderId="0" xfId="4" applyAlignment="1" applyBorder="1" applyFont="1" applyFill="1" applyProtection="1">
      <alignment horizontal="left" vertical="center" wrapText="1"/>
      <protection locked="0"/>
    </xf>
    <xf numFmtId="0" fontId="20" fillId="2" borderId="18" xfId="0" applyAlignment="1" applyBorder="1" applyFont="1" applyFill="1">
      <alignment horizontal="left" vertical="center" wrapText="1"/>
    </xf>
    <xf numFmtId="0" fontId="20" fillId="2" borderId="50" xfId="0" applyAlignment="1" applyBorder="1" applyFont="1" applyFill="1">
      <alignment horizontal="left" vertical="center" wrapText="1"/>
    </xf>
    <xf numFmtId="0" fontId="20" fillId="2" borderId="17" xfId="0" applyAlignment="1" applyBorder="1" applyFont="1" applyFill="1">
      <alignment horizontal="left" vertical="center" wrapText="1"/>
    </xf>
    <xf numFmtId="0" fontId="14" fillId="2" borderId="0" xfId="0" applyAlignment="1" applyFont="1" applyFill="1" applyProtection="1">
      <alignment horizontal="left"/>
      <protection locked="0"/>
    </xf>
    <xf numFmtId="0" fontId="14" fillId="2" borderId="0" xfId="0" applyAlignment="1" applyFont="1" applyFill="1" applyProtection="1">
      <alignment horizontal="left" vertical="center"/>
      <protection locked="0"/>
    </xf>
    <xf numFmtId="0" fontId="20" fillId="2" borderId="12" xfId="0" applyAlignment="1" applyBorder="1" applyFont="1" applyFill="1">
      <alignment vertical="center" wrapText="1"/>
    </xf>
    <xf numFmtId="0" fontId="20" fillId="2" borderId="46" xfId="0" applyAlignment="1" applyBorder="1" applyFont="1" applyFill="1">
      <alignment horizontal="left" vertical="center" wrapText="1"/>
    </xf>
    <xf numFmtId="0" fontId="20" fillId="2" borderId="19" xfId="0" applyAlignment="1" applyBorder="1" applyFont="1" applyFill="1">
      <alignment horizontal="left" vertical="center" wrapText="1"/>
    </xf>
    <xf numFmtId="0" fontId="22" fillId="2" borderId="0" xfId="4" applyAlignment="1" applyBorder="1" applyFont="1" applyFill="1" applyProtection="1">
      <alignment horizontal="left" vertical="center"/>
    </xf>
    <xf numFmtId="0" fontId="24" fillId="2" borderId="0" xfId="4" applyAlignment="1" applyBorder="1" applyFont="1" applyFill="1" applyProtection="1">
      <alignment horizontal="left" vertical="center" wrapText="1"/>
      <protection locked="0"/>
    </xf>
    <xf numFmtId="0" fontId="25" fillId="2" borderId="0" xfId="4" applyAlignment="1" applyBorder="1" applyFont="1" applyFill="1" applyProtection="1">
      <alignment horizontal="left" vertical="center" wrapText="1"/>
    </xf>
    <xf numFmtId="0" fontId="22" fillId="2" borderId="0" xfId="0" applyAlignment="1" applyFont="1" applyFill="1">
      <alignment vertical="top"/>
    </xf>
    <xf numFmtId="0" fontId="24" fillId="2" borderId="0" xfId="4" applyAlignment="1" applyBorder="1" applyFont="1" applyFill="1" applyProtection="1">
      <alignment horizontal="left" vertical="top"/>
      <protection locked="0"/>
    </xf>
    <xf numFmtId="0" fontId="22" fillId="2" borderId="0" xfId="0" applyAlignment="1" applyFont="1" applyFill="1">
      <alignment horizontal="left" vertical="top" wrapText="1"/>
    </xf>
    <xf numFmtId="0" fontId="22" fillId="2" borderId="0" xfId="0" applyAlignment="1" applyFont="1" applyFill="1">
      <alignment vertical="top" wrapText="1"/>
    </xf>
    <xf numFmtId="0" fontId="22" fillId="2" borderId="0" xfId="0" applyAlignment="1" applyFont="1" applyFill="1">
      <alignment horizontal="left" vertical="top"/>
    </xf>
    <xf numFmtId="0" fontId="23" fillId="2" borderId="0" xfId="0" applyAlignment="1" applyFont="1" applyFill="1" applyProtection="1">
      <alignment vertical="top" wrapText="1"/>
      <protection locked="0"/>
    </xf>
    <xf numFmtId="0" fontId="14" fillId="2" borderId="14" xfId="0" applyAlignment="1" applyBorder="1" applyFont="1" applyFill="1">
      <alignment horizontal="center" vertical="center" wrapText="1"/>
    </xf>
    <xf numFmtId="0" fontId="20" fillId="0" borderId="18" xfId="0" applyAlignment="1" applyBorder="1" applyFont="1">
      <alignment horizontal="left" vertical="center" wrapText="1"/>
    </xf>
    <xf numFmtId="0" fontId="20" fillId="0" borderId="50" xfId="0" applyAlignment="1" applyBorder="1" applyFont="1">
      <alignment horizontal="left" vertical="center" wrapText="1"/>
    </xf>
    <xf numFmtId="0" fontId="20" fillId="0" borderId="17" xfId="0" applyAlignment="1" applyBorder="1" applyFont="1">
      <alignment horizontal="left" vertical="center" wrapText="1"/>
    </xf>
    <xf numFmtId="0" fontId="20" fillId="2" borderId="18" xfId="0" applyAlignment="1" applyBorder="1" applyFont="1" applyFill="1" applyProtection="1">
      <alignment horizontal="left"/>
      <protection locked="0"/>
    </xf>
    <xf numFmtId="0" fontId="20" fillId="2" borderId="50" xfId="0" applyAlignment="1" applyBorder="1" applyFont="1" applyFill="1" applyProtection="1">
      <alignment horizontal="left"/>
      <protection locked="0"/>
    </xf>
    <xf numFmtId="0" fontId="20" fillId="2" borderId="17" xfId="0" applyAlignment="1" applyBorder="1" applyFont="1" applyFill="1" applyProtection="1">
      <alignment horizontal="left"/>
      <protection locked="0"/>
    </xf>
    <xf numFmtId="0" fontId="20" fillId="2" borderId="51" xfId="0" applyAlignment="1" applyBorder="1" applyFont="1" applyFill="1" applyProtection="1">
      <alignment horizontal="left" vertical="top"/>
      <protection locked="0"/>
    </xf>
    <xf numFmtId="0" fontId="20" fillId="2" borderId="46" xfId="0" applyAlignment="1" applyBorder="1" applyFont="1" applyFill="1" applyProtection="1">
      <alignment horizontal="left" vertical="top"/>
      <protection locked="0"/>
    </xf>
    <xf numFmtId="0" fontId="20" fillId="2" borderId="19" xfId="0" applyAlignment="1" applyBorder="1" applyFont="1" applyFill="1" applyProtection="1">
      <alignment horizontal="left" vertical="top"/>
      <protection locked="0"/>
    </xf>
    <xf numFmtId="0" fontId="20" fillId="2" borderId="52" xfId="0" applyAlignment="1" applyBorder="1" applyFont="1" applyFill="1" applyProtection="1">
      <alignment horizontal="left" vertical="top"/>
      <protection locked="0"/>
    </xf>
    <xf numFmtId="0" fontId="20" fillId="2" borderId="0" xfId="0" applyAlignment="1" applyFont="1" applyFill="1" applyProtection="1">
      <alignment horizontal="left" vertical="top"/>
      <protection locked="0"/>
    </xf>
    <xf numFmtId="0" fontId="20" fillId="2" borderId="12" xfId="0" applyAlignment="1" applyBorder="1" applyFont="1" applyFill="1" applyProtection="1">
      <alignment horizontal="left" vertical="top"/>
      <protection locked="0"/>
    </xf>
    <xf numFmtId="0" fontId="20" fillId="2" borderId="16" xfId="0" applyAlignment="1" applyBorder="1" applyFont="1" applyFill="1" applyProtection="1">
      <alignment horizontal="left" vertical="top"/>
      <protection locked="0"/>
    </xf>
    <xf numFmtId="0" fontId="20" fillId="2" borderId="45" xfId="0" applyAlignment="1" applyBorder="1" applyFont="1" applyFill="1" applyProtection="1">
      <alignment horizontal="left" vertical="top"/>
      <protection locked="0"/>
    </xf>
    <xf numFmtId="0" fontId="20" fillId="2" borderId="14" xfId="0" applyAlignment="1" applyBorder="1" applyFont="1" applyFill="1" applyProtection="1">
      <alignment horizontal="left" vertical="top"/>
      <protection locked="0"/>
    </xf>
    <xf numFmtId="0" fontId="14" fillId="2" borderId="18" xfId="0" applyAlignment="1" applyBorder="1" applyFont="1" applyFill="1">
      <alignment horizontal="left" vertical="center"/>
    </xf>
    <xf numFmtId="0" fontId="14" fillId="2" borderId="17" xfId="0" applyAlignment="1" applyBorder="1" applyFont="1" applyFill="1">
      <alignment horizontal="left" vertical="center"/>
    </xf>
    <xf numFmtId="0" fontId="14" fillId="2" borderId="18" xfId="0" applyAlignment="1" applyBorder="1" applyFont="1" applyFill="1" applyProtection="1">
      <alignment horizontal="left"/>
      <protection locked="0"/>
    </xf>
    <xf numFmtId="0" fontId="14" fillId="2" borderId="50" xfId="0" applyAlignment="1" applyBorder="1" applyFont="1" applyFill="1" applyProtection="1">
      <alignment horizontal="left"/>
      <protection locked="0"/>
    </xf>
    <xf numFmtId="0" fontId="14" fillId="2" borderId="17" xfId="0" applyAlignment="1" applyBorder="1" applyFont="1" applyFill="1" applyProtection="1">
      <alignment horizontal="left"/>
      <protection locked="0"/>
    </xf>
    <xf numFmtId="0" fontId="20" fillId="2" borderId="18" xfId="0" applyAlignment="1" applyBorder="1" applyFont="1" applyFill="1" applyProtection="1">
      <alignment horizontal="left" wrapText="1"/>
      <protection locked="0"/>
    </xf>
    <xf numFmtId="0" fontId="20" fillId="2" borderId="50" xfId="0" applyAlignment="1" applyBorder="1" applyFont="1" applyFill="1" applyProtection="1">
      <alignment horizontal="left" wrapText="1"/>
      <protection locked="0"/>
    </xf>
    <xf numFmtId="0" fontId="20" fillId="2" borderId="17" xfId="0" applyAlignment="1" applyBorder="1" applyFont="1" applyFill="1" applyProtection="1">
      <alignment horizontal="left" wrapText="1"/>
      <protection locked="0"/>
    </xf>
    <xf numFmtId="0" fontId="20" fillId="2" borderId="0" xfId="0" applyAlignment="1" applyFont="1" applyFill="1">
      <alignment horizontal="left"/>
    </xf>
    <xf numFmtId="49" fontId="29" fillId="2" borderId="0" xfId="4" applyAlignment="1" applyBorder="1" applyFont="1" applyNumberFormat="1" applyFill="1" applyProtection="1">
      <alignment horizontal="left" vertical="center" wrapText="1"/>
      <protection locked="0"/>
    </xf>
    <xf numFmtId="0" fontId="29" fillId="0" borderId="0" xfId="4" applyAlignment="1" applyFont="1" applyProtection="1">
      <alignment horizontal="left"/>
      <protection locked="0"/>
    </xf>
    <xf numFmtId="0" fontId="1" fillId="0" borderId="0" xfId="0" applyAlignment="1" applyFont="1">
      <alignment horizontal="center"/>
    </xf>
    <xf numFmtId="0" fontId="12" fillId="0" borderId="0" xfId="0" applyAlignment="1" applyFont="1">
      <alignment horizontal="center" wrapText="1"/>
    </xf>
    <xf numFmtId="0" fontId="26" fillId="2" borderId="0" xfId="0" applyAlignment="1" applyFont="1" applyFill="1">
      <alignment horizontal="left" wrapText="1"/>
    </xf>
    <xf numFmtId="0" fontId="14" fillId="36" borderId="0" xfId="0" applyAlignment="1" applyFont="1" applyFill="1">
      <alignment horizontal="left" vertical="center" wrapText="1"/>
    </xf>
    <xf numFmtId="0" fontId="14" fillId="2" borderId="0" xfId="0" applyAlignment="1" applyFont="1" applyFill="1">
      <alignment horizontal="center"/>
    </xf>
    <xf numFmtId="49" fontId="25" fillId="2" borderId="0" xfId="4" applyAlignment="1" applyBorder="1" applyFont="1" applyNumberFormat="1" applyFill="1" applyProtection="1">
      <alignment horizontal="left" vertical="center" wrapText="1"/>
    </xf>
    <xf numFmtId="49" fontId="25" fillId="2" borderId="48" xfId="4" applyAlignment="1" applyBorder="1" applyFont="1" applyNumberFormat="1" applyFill="1" applyProtection="1">
      <alignment horizontal="left" vertical="center" wrapText="1"/>
    </xf>
    <xf numFmtId="0" fontId="14" fillId="0" borderId="0" xfId="0" applyAlignment="1" applyFont="1">
      <alignment horizontal="center" vertical="center"/>
    </xf>
    <xf numFmtId="0" fontId="14" fillId="2" borderId="0" xfId="0" applyAlignment="1" applyFont="1" applyFill="1" quotePrefix="1">
      <alignment horizontal="center" vertical="center"/>
    </xf>
    <xf numFmtId="0" fontId="20" fillId="0" borderId="0" xfId="0" applyAlignment="1" applyFont="1" applyProtection="1">
      <alignment horizontal="left" wrapText="1"/>
      <protection locked="0"/>
    </xf>
    <xf numFmtId="0" fontId="1" fillId="2" borderId="39" xfId="0" applyAlignment="1" applyBorder="1" applyFont="1" applyFill="1">
      <alignment horizontal="center"/>
    </xf>
    <xf numFmtId="0" fontId="1" fillId="2" borderId="53" xfId="0" applyAlignment="1" applyBorder="1" applyFont="1" applyFill="1">
      <alignment horizontal="center"/>
    </xf>
    <xf numFmtId="0" fontId="1" fillId="2" borderId="54" xfId="0" applyAlignment="1" applyBorder="1" applyFont="1" applyFill="1">
      <alignment horizontal="center"/>
    </xf>
    <xf numFmtId="0" fontId="1" fillId="2" borderId="1" xfId="0" applyAlignment="1" applyBorder="1" applyFont="1" applyFill="1">
      <alignment horizontal="center"/>
    </xf>
    <xf numFmtId="0" fontId="1" fillId="2" borderId="2" xfId="0" applyAlignment="1" applyBorder="1" applyFont="1" applyFill="1">
      <alignment horizontal="center"/>
    </xf>
    <xf numFmtId="0" fontId="1" fillId="2" borderId="3" xfId="0" applyAlignment="1" applyBorder="1" applyFont="1" applyFill="1">
      <alignment horizontal="center"/>
    </xf>
    <xf numFmtId="0" fontId="12" fillId="2" borderId="1" xfId="0" applyAlignment="1" applyBorder="1" applyFont="1" applyFill="1">
      <alignment horizontal="center" wrapText="1"/>
    </xf>
    <xf numFmtId="0" fontId="12" fillId="2" borderId="36" xfId="0" applyAlignment="1" applyBorder="1" applyFont="1" applyFill="1">
      <alignment horizontal="center" wrapText="1"/>
    </xf>
    <xf numFmtId="0" fontId="12" fillId="2" borderId="55" xfId="0" applyAlignment="1" applyBorder="1" applyFont="1" applyFill="1">
      <alignment horizontal="center" wrapText="1"/>
    </xf>
    <xf numFmtId="0" fontId="12" fillId="2" borderId="3" xfId="0" applyAlignment="1" applyBorder="1" applyFont="1" applyFill="1">
      <alignment horizontal="center" wrapText="1"/>
    </xf>
    <xf numFmtId="0" fontId="12" fillId="2" borderId="56" xfId="0" applyAlignment="1" applyBorder="1" applyFont="1" applyFill="1">
      <alignment horizontal="center" wrapText="1"/>
    </xf>
    <xf numFmtId="0" fontId="12" fillId="2" borderId="57" xfId="0" applyAlignment="1" applyBorder="1" applyFont="1" applyFill="1">
      <alignment horizontal="center" wrapText="1"/>
    </xf>
    <xf numFmtId="0" fontId="12" fillId="2" borderId="58" xfId="0" applyAlignment="1" applyBorder="1" applyFont="1" applyFill="1">
      <alignment horizontal="center" wrapText="1"/>
    </xf>
    <xf numFmtId="0" fontId="12" fillId="2" borderId="59" xfId="0" applyAlignment="1" applyBorder="1" applyFont="1" applyFill="1">
      <alignment horizontal="center" wrapText="1"/>
    </xf>
    <xf numFmtId="0" fontId="1" fillId="2" borderId="6" xfId="0" applyAlignment="1" applyBorder="1" applyFont="1" applyFill="1">
      <alignment horizontal="center"/>
    </xf>
    <xf numFmtId="0" fontId="1" fillId="2" borderId="7" xfId="0" applyAlignment="1" applyBorder="1" applyFont="1" applyFill="1">
      <alignment horizontal="center"/>
    </xf>
    <xf numFmtId="0" fontId="1" fillId="2" borderId="8" xfId="0" applyAlignment="1" applyBorder="1" applyFont="1" applyFill="1">
      <alignment horizontal="center"/>
    </xf>
    <xf numFmtId="0" fontId="12" fillId="2" borderId="58" xfId="0" applyAlignment="1" applyBorder="1" applyFont="1" applyFill="1">
      <alignment horizontal="center"/>
    </xf>
    <xf numFmtId="0" fontId="12" fillId="2" borderId="56" xfId="0" applyAlignment="1" applyBorder="1" applyFont="1" applyFill="1">
      <alignment horizontal="center"/>
    </xf>
    <xf numFmtId="0" fontId="12" fillId="2" borderId="1" xfId="0" applyAlignment="1" applyBorder="1" applyFont="1" applyFill="1">
      <alignment horizontal="center"/>
    </xf>
    <xf numFmtId="0" fontId="12" fillId="2" borderId="36" xfId="0" applyAlignment="1" applyBorder="1" applyFont="1" applyFill="1">
      <alignment horizontal="center"/>
    </xf>
    <xf numFmtId="0" fontId="12" fillId="2" borderId="2" xfId="0" applyAlignment="1" applyBorder="1" applyFont="1" applyFill="1">
      <alignment horizontal="center" wrapText="1"/>
    </xf>
    <xf numFmtId="0" fontId="15" fillId="0" borderId="55" xfId="0" applyAlignment="1" applyBorder="1" applyFont="1">
      <alignment horizontal="center" wrapText="1"/>
    </xf>
    <xf numFmtId="0" fontId="15" fillId="0" borderId="36" xfId="0" applyAlignment="1" applyBorder="1" applyFont="1">
      <alignment horizontal="center" wrapText="1"/>
    </xf>
    <xf numFmtId="0" fontId="15" fillId="0" borderId="3" xfId="0" applyAlignment="1" applyBorder="1" applyFont="1">
      <alignment horizontal="center" wrapText="1"/>
    </xf>
  </cellXfs>
  <cellStyles count="5">
    <cellStyle name="Hyperlink" xfId="4" builtinId="8"/>
    <cellStyle name="Normal" xfId="0" builtinId="0"/>
    <cellStyle name="Normal 2" xfId="2"/>
    <cellStyle name="Normal 4" xfId="3"/>
    <cellStyle name="Percent" xfId="1" builtinId="5"/>
  </cellStyles>
  <dxfs>
    <dxf>
      <fill>
        <patternFill>
          <bgColor rgb="FFFF7171"/>
        </patternFill>
      </fill>
    </dxf>
    <dxf>
      <fill>
        <patternFill>
          <bgColor rgb="FFFF6969"/>
        </patternFill>
      </fill>
    </dxf>
    <dxf>
      <fill>
        <patternFill>
          <bgColor rgb="FFFF6969"/>
        </patternFill>
      </fill>
    </dxf>
    <dxf>
      <fill>
        <patternFill>
          <bgColor rgb="FFFF7171"/>
        </patternFill>
      </fill>
    </dxf>
    <dxf>
      <fill>
        <patternFill>
          <bgColor rgb="FFFF6969"/>
        </patternFill>
      </fill>
    </dxf>
    <dxf>
      <fill>
        <patternFill>
          <bgColor rgb="FFFF5757"/>
        </patternFill>
      </fill>
    </dxf>
    <dxf>
      <fill>
        <patternFill>
          <bgColor theme="9" tint="0.59996337778862885"/>
        </patternFill>
      </fill>
    </dxf>
    <dxf>
      <fill>
        <patternFill>
          <bgColor rgb="FFFF7171"/>
        </patternFill>
      </fill>
    </dxf>
    <dxf>
      <fill>
        <patternFill>
          <bgColor theme="9" tint="0.59996337778862885"/>
        </patternFill>
      </fill>
    </dxf>
    <dxf>
      <fill>
        <patternFill>
          <bgColor rgb="FF00B050"/>
        </patternFill>
      </fill>
    </dxf>
    <dxf>
      <fill>
        <patternFill>
          <bgColor rgb="FFFF0000"/>
        </patternFill>
      </fill>
    </dxf>
    <dxf>
      <fill>
        <patternFill>
          <bgColor rgb="FFDDEBF7"/>
        </patternFill>
      </fill>
    </dxf>
    <dxf>
      <fill>
        <patternFill>
          <bgColor rgb="FFDDEBF7"/>
        </patternFill>
      </fill>
    </dxf>
    <dxf>
      <fill>
        <patternFill>
          <bgColor rgb="FFFAE5C2"/>
        </patternFill>
      </fill>
    </dxf>
    <dxf>
      <fill>
        <patternFill>
          <bgColor rgb="FFFADFC2"/>
        </patternFill>
      </fill>
    </dxf>
    <dxf>
      <fill>
        <patternFill>
          <bgColor rgb="FFFAE5C2"/>
        </patternFill>
      </fill>
    </dxf>
    <dxf>
      <fill>
        <patternFill>
          <bgColor rgb="FFFADFC2"/>
        </patternFill>
      </fill>
    </dxf>
    <dxf>
      <fill>
        <patternFill>
          <bgColor rgb="FFFADFC2"/>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D6F4FE"/>
        </patternFill>
      </fill>
    </dxf>
    <dxf>
      <fill>
        <patternFill>
          <bgColor rgb="FFD6F4FE"/>
        </patternFill>
      </fill>
    </dxf>
    <dxf>
      <fill>
        <patternFill>
          <bgColor rgb="FFFADFC2"/>
        </patternFill>
      </fill>
    </dxf>
    <dxf>
      <fill>
        <patternFill>
          <bgColor rgb="FFFADFC2"/>
        </patternFill>
      </fill>
    </dxf>
    <dxf>
      <fill>
        <patternFill>
          <bgColor rgb="FFFFF2CC"/>
        </patternFill>
      </fill>
    </dxf>
    <dxf>
      <fill>
        <patternFill>
          <bgColor rgb="FFFADFC2"/>
        </patternFill>
      </fill>
    </dxf>
    <dxf>
      <font>
        <strike val="0"/>
        <outline val="0"/>
        <shadow val="0"/>
        <u val="none"/>
        <vertAlign val="baseline"/>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outline="0">
        <bottom style="thin">
          <color indexed="64"/>
        </bottom>
      </border>
    </dxf>
    <dxf>
      <font>
        <b/>
        <i val="0"/>
        <strike val="0"/>
        <condense val="0"/>
        <extend val="0"/>
        <outline val="0"/>
        <shadow val="0"/>
        <u val="none"/>
        <vertAlign val="baseline"/>
        <sz val="10"/>
        <color rgb="FF000000"/>
        <name val="Calibri"/>
        <family val="2"/>
        <scheme val="minor"/>
      </font>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numFmt numFmtId="2" formatCode="0.00"/>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border diagonalUp="0" diagonalDown="0" outline="0">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family val="2"/>
        <scheme val="minor"/>
      </font>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strike val="0"/>
        <outline val="0"/>
        <shadow val="0"/>
        <u val="none"/>
        <vertAlign val="baseline"/>
        <color theme="1"/>
        <name val="Calibri"/>
        <family val="2"/>
        <scheme val="minor"/>
      </font>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font>
        <b val="0"/>
        <strike val="0"/>
        <outline val="0"/>
        <shadow val="0"/>
        <u val="none"/>
        <vertAlign val="baseline"/>
        <sz val="10"/>
        <color rgb="FF000000"/>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family val="2"/>
        <scheme val="minor"/>
      </font>
    </dxf>
    <dxf>
      <border outline="0">
        <bottom style="medium">
          <color indexed="64"/>
        </bottom>
      </border>
    </dxf>
    <dxf>
      <font>
        <strike val="0"/>
        <outline val="0"/>
        <shadow val="0"/>
        <u val="none"/>
        <vertAlign val="baseline"/>
        <name val="Calibri"/>
        <family val="2"/>
        <scheme val="minor"/>
      </font>
    </dxf>
  </dxfs>
  <tableStyles count="0" defaultTableStyle="TableStyleMedium2" defaultPivotStyle="PivotStyleLight16"/>
</styleSheet>
</file>

<file path=xl/_rels/workbook.xml.rels><?xml version="1.0" encoding="utf-8" standalone="yes"?><Relationships xmlns="http://schemas.openxmlformats.org/package/2006/relationships"><Relationship Id="rId12" Type="http://schemas.openxmlformats.org/officeDocument/2006/relationships/worksheet" Target="worksheets/sheet12.xml" /><Relationship Id="rId7" Type="http://schemas.openxmlformats.org/officeDocument/2006/relationships/worksheet" Target="worksheets/sheet7.xml" /><Relationship Id="rId18" Type="http://schemas.openxmlformats.org/officeDocument/2006/relationships/sharedStrings" Target="sharedStrings.xml" /><Relationship Id="rId21" Type="http://schemas.openxmlformats.org/officeDocument/2006/relationships/customXml" Target="../customXml/item2.xml" /><Relationship Id="rId3" Type="http://schemas.openxmlformats.org/officeDocument/2006/relationships/worksheet" Target="worksheets/sheet3.xml" /><Relationship Id="rId13" Type="http://schemas.openxmlformats.org/officeDocument/2006/relationships/worksheet" Target="worksheets/sheet13.xml" /><Relationship Id="rId8" Type="http://schemas.openxmlformats.org/officeDocument/2006/relationships/worksheet" Target="worksheets/sheet8.xml" /><Relationship Id="rId17" Type="http://schemas.openxmlformats.org/officeDocument/2006/relationships/styles" Target="styles.xml" /><Relationship Id="rId22" Type="http://schemas.openxmlformats.org/officeDocument/2006/relationships/customXml" Target="../customXml/item3.xml" /><Relationship Id="rId16" Type="http://schemas.openxmlformats.org/officeDocument/2006/relationships/theme" Target="theme/theme1.xml" /><Relationship Id="rId4" Type="http://schemas.openxmlformats.org/officeDocument/2006/relationships/worksheet" Target="worksheets/sheet4.xml" /><Relationship Id="rId14" Type="http://schemas.openxmlformats.org/officeDocument/2006/relationships/worksheet" Target="worksheets/sheet14.xml" /><Relationship Id="rId9" Type="http://schemas.openxmlformats.org/officeDocument/2006/relationships/worksheet" Target="worksheets/sheet9.xml" /><Relationship Id="rId15" Type="http://schemas.openxmlformats.org/officeDocument/2006/relationships/worksheet" Target="worksheets/sheet15.xml" /><Relationship Id="rId5" Type="http://schemas.openxmlformats.org/officeDocument/2006/relationships/worksheet" Target="worksheets/sheet5.xml" /><Relationship Id="rId2" Type="http://schemas.openxmlformats.org/officeDocument/2006/relationships/worksheet" Target="worksheets/sheet2.xml" /><Relationship Id="rId10" Type="http://schemas.openxmlformats.org/officeDocument/2006/relationships/worksheet" Target="worksheets/sheet10.xml" /><Relationship Id="rId19" Type="http://schemas.microsoft.com/office/2017/10/relationships/person" Target="persons/person.xml" /><Relationship Id="rId20" Type="http://schemas.openxmlformats.org/officeDocument/2006/relationships/customXml" Target="../customXml/item1.xml" /><Relationship Id="rId11" Type="http://schemas.openxmlformats.org/officeDocument/2006/relationships/worksheet" Target="worksheets/sheet11.xml" /><Relationship Id="rId6" Type="http://schemas.openxmlformats.org/officeDocument/2006/relationships/worksheet" Target="worksheets/sheet6.xml" /><Relationship Id="rId1" Type="http://schemas.openxmlformats.org/officeDocument/2006/relationships/worksheet" Target="worksheets/sheet1.xml" /></Relationships>
</file>

<file path=xl/charts/_rels/chart1.xml.rels><?xml version="1.0" encoding="utf-8" standalone="yes"?><Relationships xmlns="http://schemas.openxmlformats.org/package/2006/relationships"><Relationship Id="rId2" Type="http://schemas.microsoft.com/office/2011/relationships/chartColorStyle" Target="colors1.xml" /><Relationship Id="rId1" Type="http://schemas.microsoft.com/office/2011/relationships/chartStyle" Target="style1.xml" /></Relationships>
</file>

<file path=xl/charts/_rels/chart2.xml.rels><?xml version="1.0" encoding="utf-8" standalone="yes"?><Relationships xmlns="http://schemas.openxmlformats.org/package/2006/relationships"><Relationship Id="rId2" Type="http://schemas.microsoft.com/office/2011/relationships/chartColorStyle" Target="colors2.xml" /><Relationship Id="rId1" Type="http://schemas.microsoft.com/office/2011/relationships/chartStyle" Target="style2.xml" /></Relationships>
</file>

<file path=xl/charts/chart1.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TP 'Zero'</a:t>
            </a:r>
            <a:r>
              <a:rPr lang="en-GB" b="0" i="0" sz="1400" baseline="0">
                <a:solidFill>
                  <a:srgbClr val="595959"/>
                </a:solidFill>
              </a:rPr>
              <a:t> value graph</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scatterChart>
        <c:scatterStyle val="lineMarker"/>
        <c:varyColors val="0"/>
        <c:ser>
          <c:idx val="0"/>
          <c:order val="0"/>
          <c:spPr>
            <a:ln w="19050">
              <a:solidFill>
                <a:srgbClr val="4472C4"/>
              </a:solidFill>
              <a:prstDash val="solid"/>
              <a:round/>
            </a:ln>
            <a:effectLst/>
          </c:spPr>
          <c:marker>
            <c:symbol val="circle"/>
            <c:size val="5"/>
            <c:spPr>
              <a:solidFill>
                <a:srgbClr val="4472C4"/>
              </a:solidFill>
              <a:ln xmlns:a="http://schemas.openxmlformats.org/drawingml/2006/main" w="9525">
                <a:solidFill>
                  <a:schemeClr val="accent1"/>
                </a:solidFill>
              </a:ln>
              <a:effectLst xmlns:a="http://schemas.openxmlformats.org/drawingml/2006/main"/>
            </c:spPr>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xVal>
            <c:numRef>
              <c:f>'Graph Calculations'!$F$5:$Z$5</c:f>
              <c:numCache/>
            </c:numRef>
          </c:xVal>
          <c:yVal>
            <c:numRef>
              <c:f>'Graph Calculations'!$F$14:$Z$14</c:f>
              <c:numCache/>
            </c:numRef>
          </c:yVal>
          <c:smooth val="0"/>
        </c:ser>
        <c:dLbls>
          <c:showLegendKey val="0"/>
          <c:showVal val="0"/>
          <c:showCatName val="0"/>
          <c:showSerName val="0"/>
          <c:showPercent val="0"/>
          <c:showBubbleSize val="0"/>
          <c:showLeaderLines val="0"/>
        </c:dLbls>
        <c:axId val="737515360"/>
        <c:axId val="737514704"/>
      </c:scatterChart>
      <c:valAx>
        <c:axId val="737515360"/>
        <c:scaling>
          <c:orientation val="minMax"/>
          <c:max val="100"/>
        </c:scaling>
        <c:delete val="0"/>
        <c:axPos val="b"/>
        <c:majorGridlines>
          <c:spPr>
            <a:ln w="9525">
              <a:solidFill>
                <a:srgbClr val="D9D9D9"/>
              </a:solidFill>
              <a:prstDash val="solid"/>
              <a:round/>
            </a:ln>
          </c:spPr>
        </c:majorGridlines>
        <c:title>
          <c:tx>
            <c:rich>
              <a:bodyPr rot="0" vert="horz"/>
              <a:lstStyle/>
              <a:p>
                <a:pPr algn="ctr">
                  <a:defRPr lang="en-GB" b="0" i="0" sz="1000" baseline="0">
                    <a:solidFill>
                      <a:srgbClr val="595959"/>
                    </a:solidFill>
                    <a:latin typeface="+mn-lt"/>
                    <a:ea typeface="+mn-lt"/>
                    <a:cs typeface="+mn-lt"/>
                  </a:defRPr>
                </a:pPr>
                <a:r>
                  <a:rPr lang="en-GB" b="0" i="0" sz="1000" baseline="0">
                    <a:solidFill>
                      <a:srgbClr val="595959"/>
                    </a:solidFill>
                  </a:rPr>
                  <a:t>% of proposed development set aside </a:t>
                </a:r>
              </a:p>
            </c:rich>
          </c:tx>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General"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4704"/>
        <c:crosses val="autoZero"/>
        <c:crossBetween val="midCat"/>
        <c:majorUnit val="5"/>
      </c:valAx>
      <c:valAx>
        <c:axId val="737514704"/>
        <c:scaling>
          <c:orientation val="minMax"/>
        </c:scaling>
        <c:delete val="0"/>
        <c:axPos val="l"/>
        <c:majorGridlines>
          <c:spPr>
            <a:ln w="9525">
              <a:solidFill>
                <a:srgbClr val="D9D9D9"/>
              </a:solidFill>
              <a:prstDash val="solid"/>
              <a:round/>
            </a:ln>
          </c:spPr>
        </c:majorGridlines>
        <c:title>
          <c:tx>
            <c:rich>
              <a:bodyPr rot="-5400000" vert="horz"/>
              <a:lstStyle/>
              <a:p>
                <a:pPr algn="ctr">
                  <a:defRPr lang="en-GB" b="0" i="0" sz="1000" baseline="0">
                    <a:solidFill>
                      <a:srgbClr val="595959"/>
                    </a:solidFill>
                    <a:latin typeface="+mn-lt"/>
                    <a:ea typeface="+mn-lt"/>
                    <a:cs typeface="+mn-lt"/>
                  </a:defRPr>
                </a:pPr>
                <a:r>
                  <a:rPr lang="en-GB" b="0" i="0" sz="1000" baseline="0">
                    <a:solidFill>
                      <a:srgbClr val="595959"/>
                    </a:solidFill>
                  </a:rPr>
                  <a:t>Total phosphorous</a:t>
                </a:r>
                <a:r>
                  <a:rPr lang="en-GB" b="0" i="0" sz="1000" baseline="0">
                    <a:solidFill>
                      <a:srgbClr val="595959"/>
                    </a:solidFill>
                  </a:rPr>
                  <a:t> budget (Kg/year)</a:t>
                </a:r>
              </a:p>
            </c:rich>
          </c:tx>
          <c:layout>
            <c:manualLayout>
              <c:xMode val="edge"/>
              <c:yMode val="edge"/>
              <c:x val="0.012687627946617156"/>
              <c:y val="0.22921426769336825"/>
            </c:manualLayout>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0.00"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5360"/>
        <c:crosses val="autoZero"/>
        <c:crossBetween val="midCat"/>
      </c:valAx>
      <c:spPr>
        <a:noFill/>
        <a:ln>
          <a:noFill/>
          <a:round/>
        </a:ln>
        <a:effectLst/>
      </c:spPr>
    </c:plotArea>
    <c:plotVisOnly val="1"/>
    <c:dispBlanksAs val="gap"/>
  </c:chart>
  <c:spPr>
    <a:solidFill>
      <a:srgbClr val="FFFFFF"/>
    </a:solidFill>
    <a:ln w="9525">
      <a:solidFill>
        <a:srgbClr val="D9D9D9"/>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2.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TN 'Zero'</a:t>
            </a:r>
            <a:r>
              <a:rPr lang="en-GB" b="0" i="0" sz="1400" baseline="0">
                <a:solidFill>
                  <a:srgbClr val="595959"/>
                </a:solidFill>
              </a:rPr>
              <a:t> value graph</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scatterChart>
        <c:scatterStyle val="lineMarker"/>
        <c:varyColors val="0"/>
        <c:ser>
          <c:idx val="0"/>
          <c:order val="0"/>
          <c:tx>
            <c:v>TN</c:v>
          </c:tx>
          <c:spPr>
            <a:ln w="19050">
              <a:solidFill>
                <a:srgbClr val="FF0000"/>
              </a:solidFill>
              <a:prstDash val="solid"/>
              <a:round/>
            </a:ln>
            <a:effectLst/>
          </c:spPr>
          <c:marker>
            <c:symbol val="circle"/>
            <c:size val="5"/>
            <c:spPr>
              <a:solidFill>
                <a:srgbClr val="FF0000"/>
              </a:solidFill>
              <a:ln xmlns:a="http://schemas.openxmlformats.org/drawingml/2006/main" w="9525">
                <a:solidFill>
                  <a:srgbClr val="FF0000"/>
                </a:solidFill>
              </a:ln>
              <a:effectLst xmlns:a="http://schemas.openxmlformats.org/drawingml/2006/main"/>
            </c:spPr>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xVal>
            <c:numRef>
              <c:f>'Graph Calculations'!$F$5:$Z$5</c:f>
              <c:numCache/>
            </c:numRef>
          </c:xVal>
          <c:yVal>
            <c:numRef>
              <c:f>'Graph Calculations'!$F$26:$Z$26</c:f>
              <c:numCache/>
            </c:numRef>
          </c:yVal>
          <c:smooth val="0"/>
        </c:ser>
        <c:dLbls>
          <c:showLegendKey val="0"/>
          <c:showVal val="0"/>
          <c:showCatName val="0"/>
          <c:showSerName val="0"/>
          <c:showPercent val="0"/>
          <c:showBubbleSize val="0"/>
          <c:showLeaderLines val="0"/>
        </c:dLbls>
        <c:axId val="737515360"/>
        <c:axId val="737514704"/>
      </c:scatterChart>
      <c:valAx>
        <c:axId val="737515360"/>
        <c:scaling>
          <c:orientation val="minMax"/>
          <c:max val="100"/>
        </c:scaling>
        <c:delete val="0"/>
        <c:axPos val="b"/>
        <c:majorGridlines>
          <c:spPr>
            <a:ln w="9525">
              <a:solidFill>
                <a:srgbClr val="D9D9D9"/>
              </a:solidFill>
              <a:prstDash val="solid"/>
              <a:round/>
            </a:ln>
          </c:spPr>
        </c:majorGridlines>
        <c:title>
          <c:tx>
            <c:rich>
              <a:bodyPr rot="0" vert="horz"/>
              <a:lstStyle/>
              <a:p>
                <a:pPr algn="ctr">
                  <a:defRPr lang="en-GB" b="0" i="0" sz="1000" baseline="0">
                    <a:solidFill>
                      <a:srgbClr val="595959"/>
                    </a:solidFill>
                    <a:latin typeface="+mn-lt"/>
                    <a:ea typeface="+mn-lt"/>
                    <a:cs typeface="+mn-lt"/>
                  </a:defRPr>
                </a:pPr>
                <a:r>
                  <a:rPr lang="en-GB" b="0" i="0" sz="1000" baseline="0">
                    <a:solidFill>
                      <a:srgbClr val="595959"/>
                    </a:solidFill>
                  </a:rPr>
                  <a:t>% of proposed development set aside </a:t>
                </a:r>
              </a:p>
            </c:rich>
          </c:tx>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General"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4704"/>
        <c:crosses val="autoZero"/>
        <c:crossBetween val="midCat"/>
        <c:majorUnit val="5"/>
      </c:valAx>
      <c:valAx>
        <c:axId val="737514704"/>
        <c:scaling>
          <c:orientation val="minMax"/>
        </c:scaling>
        <c:delete val="0"/>
        <c:axPos val="l"/>
        <c:majorGridlines>
          <c:spPr>
            <a:ln w="9525">
              <a:solidFill>
                <a:srgbClr val="D9D9D9"/>
              </a:solidFill>
              <a:prstDash val="solid"/>
              <a:round/>
            </a:ln>
          </c:spPr>
        </c:majorGridlines>
        <c:title>
          <c:tx>
            <c:rich>
              <a:bodyPr rot="-5400000" vert="horz"/>
              <a:lstStyle/>
              <a:p>
                <a:pPr algn="ctr">
                  <a:defRPr lang="en-GB" b="0" i="0" sz="1000" baseline="0">
                    <a:solidFill>
                      <a:srgbClr val="595959"/>
                    </a:solidFill>
                    <a:latin typeface="+mn-lt"/>
                    <a:ea typeface="+mn-lt"/>
                    <a:cs typeface="+mn-lt"/>
                  </a:defRPr>
                </a:pPr>
                <a:r>
                  <a:rPr lang="en-GB" b="0" i="0" sz="1000" baseline="0">
                    <a:solidFill>
                      <a:srgbClr val="595959"/>
                    </a:solidFill>
                  </a:rPr>
                  <a:t>Total nitrogen</a:t>
                </a:r>
                <a:r>
                  <a:rPr lang="en-GB" b="0" i="0" sz="1000" baseline="0">
                    <a:solidFill>
                      <a:srgbClr val="595959"/>
                    </a:solidFill>
                  </a:rPr>
                  <a:t> budget (Kg/year)</a:t>
                </a:r>
              </a:p>
            </c:rich>
          </c:tx>
          <c:layout>
            <c:manualLayout>
              <c:xMode val="edge"/>
              <c:yMode val="edge"/>
              <c:x val="0.012687627946617156"/>
              <c:y val="0.22921426769336825"/>
            </c:manualLayout>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0.00"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5360"/>
        <c:crosses val="autoZero"/>
        <c:crossBetween val="midCat"/>
      </c:valAx>
      <c:spPr>
        <a:noFill/>
        <a:ln>
          <a:noFill/>
          <a:round/>
        </a:ln>
        <a:effectLst/>
      </c:spPr>
    </c:plotArea>
    <c:plotVisOnly val="1"/>
    <c:dispBlanksAs val="gap"/>
  </c:chart>
  <c:spPr>
    <a:solidFill>
      <a:srgbClr val="FFFFFF"/>
    </a:solidFill>
    <a:ln w="9525">
      <a:solidFill>
        <a:srgbClr val="D9D9D9"/>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3" Type="http://schemas.openxmlformats.org/officeDocument/2006/relationships/image" Target="/xl/media/image3.png" /><Relationship Id="rId8" Type="http://schemas.openxmlformats.org/officeDocument/2006/relationships/image" Target="/xl/media/image8.png" /><Relationship Id="rId4" Type="http://schemas.openxmlformats.org/officeDocument/2006/relationships/image" Target="/xl/media/image4.png" /><Relationship Id="rId9" Type="http://schemas.openxmlformats.org/officeDocument/2006/relationships/image" Target="/xl/media/image9.gif" /><Relationship Id="rId10" Type="http://schemas.openxmlformats.org/officeDocument/2006/relationships/image" Target="/xl/media/image10.png" /><Relationship Id="rId5" Type="http://schemas.openxmlformats.org/officeDocument/2006/relationships/image" Target="/xl/media/image5.png" /><Relationship Id="rId6" Type="http://schemas.openxmlformats.org/officeDocument/2006/relationships/image" Target="/xl/media/image6.png" /><Relationship Id="rId1" Type="http://schemas.openxmlformats.org/officeDocument/2006/relationships/image" Target="/xl/media/image1.png" /><Relationship Id="rId7" Type="http://schemas.openxmlformats.org/officeDocument/2006/relationships/image" Target="/xl/media/image7.png" /><Relationship Id="rId2" Type="http://schemas.openxmlformats.org/officeDocument/2006/relationships/image" Target="/xl/media/image2.png" /></Relationships>
</file>

<file path=xl/drawings/_rels/drawing2.xml.rels><?xml version="1.0" encoding="utf-8" standalone="yes"?><Relationships xmlns="http://schemas.openxmlformats.org/package/2006/relationships"><Relationship Id="rId1" Type="http://schemas.openxmlformats.org/officeDocument/2006/relationships/chart" Target="/xl/charts/chart1.xml" /><Relationship Id="rId2" Type="http://schemas.openxmlformats.org/officeDocument/2006/relationships/chart" Target="/xl/charts/chart2.xml" /></Relationships>
</file>

<file path=xl/drawings/_rels/drawing3.xml.rels><?xml version="1.0" encoding="utf-8" standalone="yes"?><Relationships xmlns="http://schemas.openxmlformats.org/package/2006/relationships"><Relationship Id="rId1" Type="http://schemas.openxmlformats.org/officeDocument/2006/relationships/image" Target="/xl/media/image11.jpeg" /></Relationships>
</file>

<file path=xl/drawings/drawing1.xml><?xml version="1.0" encoding="utf-8"?>
<xdr:wsDr xmlns:xdr="http://schemas.openxmlformats.org/drawingml/2006/spreadsheetDrawing" xmlns:a="http://schemas.openxmlformats.org/drawingml/2006/main">
  <xdr:twoCellAnchor editAs="oneCell">
    <xdr:from>
      <xdr:col>15</xdr:col>
      <xdr:colOff>1866305</xdr:colOff>
      <xdr:row>6</xdr:row>
      <xdr:rowOff>646747</xdr:rowOff>
    </xdr:from>
    <xdr:to>
      <xdr:col>15</xdr:col>
      <xdr:colOff>3425447</xdr:colOff>
      <xdr:row>6</xdr:row>
      <xdr:rowOff>1103947</xdr:rowOff>
    </xdr:to>
    <xdr:pic macro="">
      <xdr:nvPicPr>
        <xdr:cNvPr id="5" name="Picture 4" descr="Norfolk County Council company logo">
          <a:extLst xmlns:a="http://schemas.openxmlformats.org/drawingml/2006/main">
            <a:ext uri="{FF2B5EF4-FFF2-40B4-BE49-F238E27FC236}">
              <a16:creationId xmlns:a16="http://schemas.microsoft.com/office/drawing/2014/main" id="{97CDE3B0-D969-4D9E-95C6-604A08986424}"/>
            </a:ext>
          </a:extLst>
        </xdr:cNvPr>
        <xdr:cNvPicPr>
          <a:picLocks noChangeAspect="1"/>
        </xdr:cNvPicPr>
      </xdr:nvPicPr>
      <xdr:blipFill>
        <a:blip xmlns:d5p1="http://schemas.openxmlformats.org/officeDocument/2006/relationships" d5p1:embed="rId1">
          <a:extLst/>
        </a:blip>
        <a:srcRect/>
        <a:stretch>
          <a:fillRect/>
        </a:stretch>
      </xdr:blipFill>
      <xdr:spPr>
        <a:xfrm>
          <a:off x="12622575" y="1534155"/>
          <a:ext cx="1556710" cy="1556710"/>
        </a:xfrm>
        <a:prstGeom xmlns:a="http://schemas.openxmlformats.org/drawingml/2006/main" prst="rect">
          <a:avLst/>
        </a:prstGeom>
        <a:noFill/>
      </xdr:spPr>
    </xdr:pic>
    <xdr:clientData/>
  </xdr:twoCellAnchor>
  <xdr:twoCellAnchor editAs="oneCell">
    <xdr:from>
      <xdr:col>12</xdr:col>
      <xdr:colOff>1933203</xdr:colOff>
      <xdr:row>3</xdr:row>
      <xdr:rowOff>8572</xdr:rowOff>
    </xdr:from>
    <xdr:to>
      <xdr:col>13</xdr:col>
      <xdr:colOff>554924</xdr:colOff>
      <xdr:row>6</xdr:row>
      <xdr:rowOff>107632</xdr:rowOff>
    </xdr:to>
    <xdr:pic macro="">
      <xdr:nvPicPr>
        <xdr:cNvPr id="6" name="Picture 5" descr="Great Yarmouth Borough Council logo">
          <a:extLst xmlns:a="http://schemas.openxmlformats.org/drawingml/2006/main">
            <a:ext uri="{FF2B5EF4-FFF2-40B4-BE49-F238E27FC236}">
              <a16:creationId xmlns:a16="http://schemas.microsoft.com/office/drawing/2014/main" id="{D5AD752F-1CBD-41D1-A65F-C06F585E8875}"/>
            </a:ext>
          </a:extLst>
        </xdr:cNvPr>
        <xdr:cNvPicPr>
          <a:picLocks noChangeAspect="1"/>
        </xdr:cNvPicPr>
      </xdr:nvPicPr>
      <xdr:blipFill>
        <a:blip xmlns:d5p1="http://schemas.openxmlformats.org/officeDocument/2006/relationships" d5p1:embed="rId2">
          <a:extLst/>
        </a:blip>
        <a:srcRect/>
        <a:stretch>
          <a:fillRect/>
        </a:stretch>
      </xdr:blipFill>
      <xdr:spPr>
        <a:xfrm>
          <a:off x="8387939" y="508453"/>
          <a:ext cx="1932393" cy="1932393"/>
        </a:xfrm>
        <a:prstGeom xmlns:a="http://schemas.openxmlformats.org/drawingml/2006/main" prst="rect">
          <a:avLst/>
        </a:prstGeom>
        <a:noFill/>
      </xdr:spPr>
    </xdr:pic>
    <xdr:clientData/>
  </xdr:twoCellAnchor>
  <xdr:twoCellAnchor editAs="oneCell">
    <xdr:from>
      <xdr:col>8</xdr:col>
      <xdr:colOff>279760</xdr:colOff>
      <xdr:row>6</xdr:row>
      <xdr:rowOff>467677</xdr:rowOff>
    </xdr:from>
    <xdr:to>
      <xdr:col>9</xdr:col>
      <xdr:colOff>821103</xdr:colOff>
      <xdr:row>6</xdr:row>
      <xdr:rowOff>1103947</xdr:rowOff>
    </xdr:to>
    <xdr:pic macro="">
      <xdr:nvPicPr>
        <xdr:cNvPr id="7" name="Picture 6" descr="North Norfolk District Council logo">
          <a:extLst xmlns:a="http://schemas.openxmlformats.org/drawingml/2006/main">
            <a:ext uri="{FF2B5EF4-FFF2-40B4-BE49-F238E27FC236}">
              <a16:creationId xmlns:a16="http://schemas.microsoft.com/office/drawing/2014/main" id="{9CC77786-3FD3-4606-9137-890F0CB77B65}"/>
            </a:ext>
          </a:extLst>
        </xdr:cNvPr>
        <xdr:cNvPicPr>
          <a:picLocks noChangeAspect="1"/>
        </xdr:cNvPicPr>
      </xdr:nvPicPr>
      <xdr:blipFill>
        <a:blip xmlns:d5p1="http://schemas.openxmlformats.org/officeDocument/2006/relationships" d5p1:embed="rId3">
          <a:extLst/>
        </a:blip>
        <a:srcRect/>
        <a:stretch>
          <a:fillRect/>
        </a:stretch>
      </xdr:blipFill>
      <xdr:spPr>
        <a:xfrm>
          <a:off x="4493515" y="1354198"/>
          <a:ext cx="1621193" cy="1621193"/>
        </a:xfrm>
        <a:prstGeom xmlns:a="http://schemas.openxmlformats.org/drawingml/2006/main" prst="rect">
          <a:avLst/>
        </a:prstGeom>
        <a:noFill/>
      </xdr:spPr>
    </xdr:pic>
    <xdr:clientData/>
  </xdr:twoCellAnchor>
  <xdr:twoCellAnchor editAs="oneCell">
    <xdr:from>
      <xdr:col>11</xdr:col>
      <xdr:colOff>554236</xdr:colOff>
      <xdr:row>6</xdr:row>
      <xdr:rowOff>508635</xdr:rowOff>
    </xdr:from>
    <xdr:to>
      <xdr:col>12</xdr:col>
      <xdr:colOff>1732471</xdr:colOff>
      <xdr:row>6</xdr:row>
      <xdr:rowOff>1181100</xdr:rowOff>
    </xdr:to>
    <xdr:pic macro="">
      <xdr:nvPicPr>
        <xdr:cNvPr id="9" name="Picture 8" descr="Norwich City Council logo">
          <a:extLst xmlns:a="http://schemas.openxmlformats.org/drawingml/2006/main">
            <a:ext uri="{FF2B5EF4-FFF2-40B4-BE49-F238E27FC236}">
              <a16:creationId xmlns:a16="http://schemas.microsoft.com/office/drawing/2014/main" id="{BEC0F670-0654-4586-9CF0-2E23CF953317}"/>
            </a:ext>
          </a:extLst>
        </xdr:cNvPr>
        <xdr:cNvPicPr>
          <a:picLocks noChangeAspect="1"/>
        </xdr:cNvPicPr>
      </xdr:nvPicPr>
      <xdr:blipFill>
        <a:blip xmlns:d5p1="http://schemas.openxmlformats.org/officeDocument/2006/relationships" d5p1:embed="rId4">
          <a:extLst/>
        </a:blip>
        <a:srcRect xmlns:a="http://schemas.openxmlformats.org/drawingml/2006/main" l="6687" t="14562" r="6524" b="17361"/>
        <a:stretch>
          <a:fillRect/>
        </a:stretch>
      </xdr:blipFill>
      <xdr:spPr>
        <a:xfrm>
          <a:off x="6403743" y="1393681"/>
          <a:ext cx="1771219" cy="1771219"/>
        </a:xfrm>
        <a:prstGeom xmlns:a="http://schemas.openxmlformats.org/drawingml/2006/main" prst="rect">
          <a:avLst/>
        </a:prstGeom>
        <a:noFill/>
      </xdr:spPr>
    </xdr:pic>
    <xdr:clientData/>
  </xdr:twoCellAnchor>
  <xdr:twoCellAnchor editAs="oneCell">
    <xdr:from>
      <xdr:col>14</xdr:col>
      <xdr:colOff>305395</xdr:colOff>
      <xdr:row>6</xdr:row>
      <xdr:rowOff>580072</xdr:rowOff>
    </xdr:from>
    <xdr:to>
      <xdr:col>15</xdr:col>
      <xdr:colOff>1353071</xdr:colOff>
      <xdr:row>6</xdr:row>
      <xdr:rowOff>1103947</xdr:rowOff>
    </xdr:to>
    <xdr:pic macro="">
      <xdr:nvPicPr>
        <xdr:cNvPr id="10" name="Picture 9" descr="South Norfolk Council logo">
          <a:extLst xmlns:a="http://schemas.openxmlformats.org/drawingml/2006/main">
            <a:ext uri="{FF2B5EF4-FFF2-40B4-BE49-F238E27FC236}">
              <a16:creationId xmlns:a16="http://schemas.microsoft.com/office/drawing/2014/main" id="{BAA1334B-C209-42F6-A5C7-69F7E8BFE7F8}"/>
            </a:ext>
          </a:extLst>
        </xdr:cNvPr>
        <xdr:cNvPicPr>
          <a:picLocks noChangeAspect="1"/>
        </xdr:cNvPicPr>
      </xdr:nvPicPr>
      <xdr:blipFill>
        <a:blip xmlns:d5p1="http://schemas.openxmlformats.org/officeDocument/2006/relationships" d5p1:embed="rId5">
          <a:extLst/>
        </a:blip>
        <a:srcRect xmlns:a="http://schemas.openxmlformats.org/drawingml/2006/main" t="32004" b="31425"/>
        <a:stretch>
          <a:fillRect/>
        </a:stretch>
      </xdr:blipFill>
      <xdr:spPr>
        <a:xfrm>
          <a:off x="10677121" y="1465200"/>
          <a:ext cx="1433657" cy="1433657"/>
        </a:xfrm>
        <a:prstGeom xmlns:a="http://schemas.openxmlformats.org/drawingml/2006/main" prst="rect">
          <a:avLst/>
        </a:prstGeom>
        <a:noFill/>
      </xdr:spPr>
    </xdr:pic>
    <xdr:clientData/>
  </xdr:twoCellAnchor>
  <xdr:twoCellAnchor editAs="oneCell">
    <xdr:from>
      <xdr:col>12</xdr:col>
      <xdr:colOff>2238933</xdr:colOff>
      <xdr:row>6</xdr:row>
      <xdr:rowOff>477202</xdr:rowOff>
    </xdr:from>
    <xdr:to>
      <xdr:col>13</xdr:col>
      <xdr:colOff>373354</xdr:colOff>
      <xdr:row>6</xdr:row>
      <xdr:rowOff>1099185</xdr:rowOff>
    </xdr:to>
    <xdr:pic macro="">
      <xdr:nvPicPr>
        <xdr:cNvPr id="11" name="Picture 10" descr="Borough Council of King's Lynn and West Norfolk logo">
          <a:extLst xmlns:a="http://schemas.openxmlformats.org/drawingml/2006/main">
            <a:ext uri="{FF2B5EF4-FFF2-40B4-BE49-F238E27FC236}">
              <a16:creationId xmlns:a16="http://schemas.microsoft.com/office/drawing/2014/main" id="{9220F952-FE05-4FE5-A571-E45EC1BA2170}"/>
            </a:ext>
          </a:extLst>
        </xdr:cNvPr>
        <xdr:cNvPicPr>
          <a:picLocks noChangeAspect="1"/>
        </xdr:cNvPicPr>
      </xdr:nvPicPr>
      <xdr:blipFill>
        <a:blip xmlns:d5p1="http://schemas.openxmlformats.org/officeDocument/2006/relationships" d5p1:embed="rId6">
          <a:extLst/>
        </a:blip>
        <a:srcRect xmlns:a="http://schemas.openxmlformats.org/drawingml/2006/main" l="9986" t="22685" r="8506" b="25722"/>
        <a:stretch>
          <a:fillRect/>
        </a:stretch>
      </xdr:blipFill>
      <xdr:spPr>
        <a:xfrm>
          <a:off x="8694134" y="1360164"/>
          <a:ext cx="1448089" cy="1448089"/>
        </a:xfrm>
        <a:prstGeom xmlns:a="http://schemas.openxmlformats.org/drawingml/2006/main" prst="rect">
          <a:avLst/>
        </a:prstGeom>
        <a:noFill/>
      </xdr:spPr>
    </xdr:pic>
    <xdr:clientData/>
  </xdr:twoCellAnchor>
  <xdr:twoCellAnchor editAs="oneCell">
    <xdr:from>
      <xdr:col>8</xdr:col>
      <xdr:colOff>378442</xdr:colOff>
      <xdr:row>3</xdr:row>
      <xdr:rowOff>40005</xdr:rowOff>
    </xdr:from>
    <xdr:to>
      <xdr:col>9</xdr:col>
      <xdr:colOff>647300</xdr:colOff>
      <xdr:row>6</xdr:row>
      <xdr:rowOff>225742</xdr:rowOff>
    </xdr:to>
    <xdr:pic macro="">
      <xdr:nvPicPr>
        <xdr:cNvPr id="12" name="Picture 11" descr="Broadland District Council logo">
          <a:extLst xmlns:a="http://schemas.openxmlformats.org/drawingml/2006/main">
            <a:ext uri="{FF2B5EF4-FFF2-40B4-BE49-F238E27FC236}">
              <a16:creationId xmlns:a16="http://schemas.microsoft.com/office/drawing/2014/main" id="{1DADA515-70BB-4A62-AE82-E686B6F192D7}"/>
            </a:ext>
          </a:extLst>
        </xdr:cNvPr>
        <xdr:cNvPicPr>
          <a:picLocks noChangeAspect="1"/>
        </xdr:cNvPicPr>
      </xdr:nvPicPr>
      <xdr:blipFill>
        <a:blip xmlns:d5p1="http://schemas.openxmlformats.org/officeDocument/2006/relationships" d5p1:embed="rId7">
          <a:extLst/>
        </a:blip>
        <a:srcRect xmlns:a="http://schemas.openxmlformats.org/drawingml/2006/main" l="4630" t="17796" r="6685" b="23479"/>
        <a:stretch>
          <a:fillRect/>
        </a:stretch>
      </xdr:blipFill>
      <xdr:spPr>
        <a:xfrm>
          <a:off x="4592305" y="539857"/>
          <a:ext cx="1300552" cy="1300552"/>
        </a:xfrm>
        <a:prstGeom xmlns:a="http://schemas.openxmlformats.org/drawingml/2006/main" prst="rect">
          <a:avLst/>
        </a:prstGeom>
        <a:noFill/>
      </xdr:spPr>
    </xdr:pic>
    <xdr:clientData/>
  </xdr:twoCellAnchor>
  <xdr:twoCellAnchor editAs="oneCell">
    <xdr:from>
      <xdr:col>15</xdr:col>
      <xdr:colOff>46658</xdr:colOff>
      <xdr:row>2</xdr:row>
      <xdr:rowOff>28575</xdr:rowOff>
    </xdr:from>
    <xdr:to>
      <xdr:col>15</xdr:col>
      <xdr:colOff>1084790</xdr:colOff>
      <xdr:row>6</xdr:row>
      <xdr:rowOff>281940</xdr:rowOff>
    </xdr:to>
    <xdr:pic macro="">
      <xdr:nvPicPr>
        <xdr:cNvPr id="13" name="Picture 12" descr="Breckland Council logo">
          <a:extLst xmlns:a="http://schemas.openxmlformats.org/drawingml/2006/main">
            <a:ext uri="{FF2B5EF4-FFF2-40B4-BE49-F238E27FC236}">
              <a16:creationId xmlns:a16="http://schemas.microsoft.com/office/drawing/2014/main" id="{3CF935B2-CFCB-47C3-B20F-4F4D2B4D0471}"/>
            </a:ext>
          </a:extLst>
        </xdr:cNvPr>
        <xdr:cNvPicPr>
          <a:picLocks noChangeAspect="1"/>
        </xdr:cNvPicPr>
      </xdr:nvPicPr>
      <xdr:blipFill>
        <a:blip xmlns:d5p1="http://schemas.openxmlformats.org/officeDocument/2006/relationships" d5p1:embed="rId8">
          <a:extLst/>
        </a:blip>
        <a:srcRect xmlns:a="http://schemas.openxmlformats.org/drawingml/2006/main" t="11701" b="11701"/>
        <a:stretch>
          <a:fillRect/>
        </a:stretch>
      </xdr:blipFill>
      <xdr:spPr>
        <a:xfrm>
          <a:off x="10803002" y="374914"/>
          <a:ext cx="1039815" cy="1039815"/>
        </a:xfrm>
        <a:prstGeom xmlns:a="http://schemas.openxmlformats.org/drawingml/2006/main" prst="rect">
          <a:avLst/>
        </a:prstGeom>
        <a:noFill/>
      </xdr:spPr>
    </xdr:pic>
    <xdr:clientData/>
  </xdr:twoCellAnchor>
  <xdr:twoCellAnchor editAs="oneCell">
    <xdr:from>
      <xdr:col>11</xdr:col>
      <xdr:colOff>471488</xdr:colOff>
      <xdr:row>2</xdr:row>
      <xdr:rowOff>124777</xdr:rowOff>
    </xdr:from>
    <xdr:to>
      <xdr:col>12</xdr:col>
      <xdr:colOff>1769529</xdr:colOff>
      <xdr:row>6</xdr:row>
      <xdr:rowOff>240982</xdr:rowOff>
    </xdr:to>
    <xdr:pic macro="">
      <xdr:nvPicPr>
        <xdr:cNvPr id="15" name="Picture 14" descr="Terms and conditions">
          <a:extLst xmlns:a="http://schemas.openxmlformats.org/drawingml/2006/main">
            <a:ext uri="{FF2B5EF4-FFF2-40B4-BE49-F238E27FC236}">
              <a16:creationId xmlns:a16="http://schemas.microsoft.com/office/drawing/2014/main" id="{FC21D4CB-696D-4007-8DD9-72558DA0F7D4}"/>
            </a:ext>
          </a:extLst>
        </xdr:cNvPr>
        <xdr:cNvPicPr>
          <a:picLocks noChangeAspect="1"/>
        </xdr:cNvPicPr>
      </xdr:nvPicPr>
      <xdr:blipFill>
        <a:blip xmlns:d5p1="http://schemas.openxmlformats.org/officeDocument/2006/relationships" d5p1:embed="rId9">
          <a:extLst>
            <a:ext uri="{28A0092B-C50C-407E-A947-70E740481C1C}">
              <a14:useLocalDpi xmlns:a14="http://schemas.microsoft.com/office/drawing/2010/main" val="0"/>
            </a:ext>
          </a:extLst>
        </a:blip>
        <a:srcRect xmlns:a="http://schemas.openxmlformats.org/drawingml/2006/main" r="31892"/>
        <a:stretch>
          <a:fillRect/>
        </a:stretch>
      </xdr:blipFill>
      <xdr:spPr>
        <a:xfrm>
          <a:off x="6321137" y="471440"/>
          <a:ext cx="1905000" cy="1905000"/>
        </a:xfrm>
        <a:prstGeom xmlns:a="http://schemas.openxmlformats.org/drawingml/2006/main" prst="rect">
          <a:avLst/>
        </a:prstGeom>
        <a:noFill/>
      </xdr:spPr>
    </xdr:pic>
    <xdr:clientData/>
  </xdr:twoCellAnchor>
  <xdr:twoCellAnchor editAs="twoCell">
    <xdr:from>
      <xdr:col>15</xdr:col>
      <xdr:colOff>1668010</xdr:colOff>
      <xdr:row>2</xdr:row>
      <xdr:rowOff>83820</xdr:rowOff>
    </xdr:from>
    <xdr:to>
      <xdr:col>15</xdr:col>
      <xdr:colOff>3499321</xdr:colOff>
      <xdr:row>6</xdr:row>
      <xdr:rowOff>380047</xdr:rowOff>
    </xdr:to>
    <xdr:pic macro="">
      <xdr:nvPicPr>
        <xdr:cNvPr id="3" name="Picture 2">
          <a:extLst xmlns:a="http://schemas.openxmlformats.org/drawingml/2006/main">
            <a:ext uri="{FF2B5EF4-FFF2-40B4-BE49-F238E27FC236}">
              <a16:creationId xmlns:a16="http://schemas.microsoft.com/office/drawing/2014/main" id="{7E6418BA-7293-432A-90C6-B05A3702EFD8}"/>
            </a:ext>
          </a:extLst>
        </xdr:cNvPr>
        <xdr:cNvPicPr>
          <a:picLocks noChangeAspect="1"/>
        </xdr:cNvPicPr>
      </xdr:nvPicPr>
      <xdr:blipFill>
        <a:blip xmlns:d5p1="http://schemas.openxmlformats.org/officeDocument/2006/relationships" d5p1:embed="rId10">
          <a:extLst>
            <a:ext uri="{28A0092B-C50C-407E-A947-70E740481C1C}">
              <a14:useLocalDpi xmlns:a14="http://schemas.microsoft.com/office/drawing/2010/main" val="0"/>
            </a:ext>
          </a:extLst>
        </a:blip>
        <a:srcRect xmlns:a="http://schemas.openxmlformats.org/drawingml/2006/main" t="196" b="196"/>
        <a:stretch>
          <a:fillRect/>
        </a:stretch>
      </xdr:blipFill>
      <xdr:spPr>
        <a:xfrm>
          <a:off x="12906375" y="428625"/>
          <a:ext cx="1833381" cy="1833381"/>
        </a:xfrm>
        <a:prstGeom xmlns:a="http://schemas.openxmlformats.org/drawingml/2006/main" prst="rect">
          <a:avLst/>
        </a:prstGeom>
        <a:noFill/>
      </xdr:spPr>
    </xdr:pic>
    <xdr:clientData/>
  </xdr:twoCellAnchor>
  <xdr:twoCellAnchor editAs="twoCell">
    <xdr:from>
      <xdr:col>9</xdr:col>
      <xdr:colOff>406794</xdr:colOff>
      <xdr:row>222</xdr:row>
      <xdr:rowOff>49530</xdr:rowOff>
    </xdr:from>
    <xdr:to>
      <xdr:col>12</xdr:col>
      <xdr:colOff>429258</xdr:colOff>
      <xdr:row>222</xdr:row>
      <xdr:rowOff>986790</xdr:rowOff>
    </xdr:to>
    <xdr:pic macro="">
      <xdr:nvPicPr>
        <xdr:cNvPr id="8" name="Picture 7">
          <a:extLst xmlns:a="http://schemas.openxmlformats.org/drawingml/2006/main">
            <a:ext uri="{FF2B5EF4-FFF2-40B4-BE49-F238E27FC236}">
              <a16:creationId xmlns:a16="http://schemas.microsoft.com/office/drawing/2014/main" id="{4541AB0F-1279-43DE-B11E-C9F7CDBC6933}"/>
            </a:ext>
          </a:extLst>
        </xdr:cNvPr>
        <xdr:cNvPicPr>
          <a:picLocks noChangeAspect="1"/>
        </xdr:cNvPicPr>
      </xdr:nvPicPr>
      <xdr:blipFill>
        <a:blip xmlns:d5p1="http://schemas.openxmlformats.org/officeDocument/2006/relationships" d5p1:embed="rId10">
          <a:extLst>
            <a:ext uri="{28A0092B-C50C-407E-A947-70E740481C1C}">
              <a14:useLocalDpi xmlns:a14="http://schemas.microsoft.com/office/drawing/2010/main" val="0"/>
            </a:ext>
          </a:extLst>
        </a:blip>
        <a:srcRect xmlns:a="http://schemas.openxmlformats.org/drawingml/2006/main" t="196" b="196"/>
        <a:stretch>
          <a:fillRect/>
        </a:stretch>
      </xdr:blipFill>
      <xdr:spPr>
        <a:xfrm>
          <a:off x="5491071" y="70854094"/>
          <a:ext cx="2069217" cy="2069217"/>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6</xdr:col>
      <xdr:colOff>30473</xdr:colOff>
      <xdr:row>28</xdr:row>
      <xdr:rowOff>126682</xdr:rowOff>
    </xdr:from>
    <xdr:to>
      <xdr:col>21</xdr:col>
      <xdr:colOff>33486</xdr:colOff>
      <xdr:row>46</xdr:row>
      <xdr:rowOff>22860</xdr:rowOff>
    </xdr:to>
    <xdr:graphicFrame macro="">
      <xdr:nvGraphicFramePr>
        <xdr:cNvPr id="2" name="Chart 1" descr="Total Phosphorus Zero value calculator graph. X axis shows the percentage of the proposed development that would be set aside. The Y axis shows the total phosphorus load. "/>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1"/>
        </a:graphicData>
      </a:graphic>
    </xdr:graphicFrame>
    <xdr:clientData/>
  </xdr:twoCellAnchor>
  <xdr:twoCellAnchor editAs="twoCell">
    <xdr:from>
      <xdr:col>6</xdr:col>
      <xdr:colOff>30473</xdr:colOff>
      <xdr:row>46</xdr:row>
      <xdr:rowOff>141922</xdr:rowOff>
    </xdr:from>
    <xdr:to>
      <xdr:col>21</xdr:col>
      <xdr:colOff>33486</xdr:colOff>
      <xdr:row>53</xdr:row>
      <xdr:rowOff>78105</xdr:rowOff>
    </xdr:to>
    <xdr:graphicFrame macro="">
      <xdr:nvGraphicFramePr>
        <xdr:cNvPr id="3" name="Chart 2" descr="Total Nitrogen Zero value calculator graph. X axis shows the percentage of the proposed development that would be set aside. The Y axis shows the total nitrogen load. "/>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31432</xdr:rowOff>
    </xdr:from>
    <xdr:to>
      <xdr:col>17</xdr:col>
      <xdr:colOff>514350</xdr:colOff>
      <xdr:row>50</xdr:row>
      <xdr:rowOff>118110</xdr:rowOff>
    </xdr:to>
    <xdr:pic macro="">
      <xdr:nvPicPr>
        <xdr:cNvPr id="3" name="Picture 2" descr="Average annual rainfall data with the nutrient neutrality catchment. Rainfall ranges from 550 mm per year to 850 mm per year.">
          <a:extLst xmlns:a="http://schemas.openxmlformats.org/drawingml/2006/main">
            <a:ext uri="{FF2B5EF4-FFF2-40B4-BE49-F238E27FC236}">
              <a16:creationId xmlns:a16="http://schemas.microsoft.com/office/drawing/2014/main" id="{29A31306-67C7-4E32-966E-B1034A6A084F}"/>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0" y="830957"/>
          <a:ext cx="10877550" cy="10877550"/>
        </a:xfrm>
        <a:prstGeom xmlns:a="http://schemas.openxmlformats.org/drawingml/2006/main"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Rebecca Farquharson" id="{A624E085-4EFE-4F72-9802-22E2568F2921}" userId="S::rebecca.farquharson@haskoning.com::732cc54c-bf16-4794-935f-004488ca6c8b" providerId="AD"/>
</personList>
</file>

<file path=xl/tables/table1.xml><?xml version="1.0" encoding="utf-8"?>
<table xmlns="http://schemas.openxmlformats.org/spreadsheetml/2006/main" id="1" name="Table1" displayName="Table1" ref="B2:K86" totalsRowShown="0" dataDxfId="65" headerRowBorderDxfId="66" headerRowDxfId="67" tableBorderDxfId="64">
  <autoFilter ref="B2:K86"/>
  <tableColumns>
    <tableColumn id="1" name="Water Recycling Centre (WRC)"/>
    <tableColumn id="5" name="Current (2025) Value known?"/>
    <tableColumn id="2" name="Current (2025) TP Discharge level (mg/l)">
      <calculatedColumnFormula>IF(Table1[[#This Row],[Current (2025) Value known?]]="No",5,0)</calculatedColumnFormula>
    </tableColumn>
    <tableColumn id="3" name="Current TN Discharge level (mg/l)">
      <calculatedColumnFormula>25</calculatedColumnFormula>
    </tableColumn>
    <tableColumn id="9" name="2026 Value known?"/>
    <tableColumn id="4" name="Post 2026 TP Discharge level (mg/l)"/>
    <tableColumn id="7" name="Post 2026 TN Discharge level (mg/l)">
      <calculatedColumnFormula>27</calculatedColumnFormula>
    </tableColumn>
    <tableColumn id="6" name="2030 Value known?"/>
    <tableColumn id="8" name="Post 2030 TP discharge level (mg/l)">
      <calculatedColumnFormula>0.25*0.9</calculatedColumnFormula>
    </tableColumn>
    <tableColumn id="10" name="Post 2030 TN discharge level (mg/l)">
      <calculatedColumnFormula>10*0.9</calculatedColumnFormula>
    </tableColumn>
  </tableColumns>
  <tableStyleInfo name="TableStyleLight8" showFirstColumn="0" showLastColumn="0" showRowStripes="1" showColumnStripes="0"/>
</table>
</file>

<file path=xl/tables/table2.xml><?xml version="1.0" encoding="utf-8"?>
<table xmlns="http://schemas.openxmlformats.org/spreadsheetml/2006/main" id="2" name="Table2" displayName="Table2" ref="N2:P9" totalsRowShown="0" dataDxfId="42" headerRowDxfId="43">
  <autoFilter ref="N2:P9"/>
  <tableColumns>
    <tableColumn id="1" name="Land Use classification"/>
    <tableColumn id="2" name="Leaching rate (kg / ha / yr)"/>
    <tableColumn id="3" name="Leaching rate (kg / ha / yr)2"/>
  </tableColumns>
  <tableStyleInfo name="TableStyleLight8" showFirstColumn="0" showLastColumn="0" showRowStripes="1" showColumnStripes="0"/>
</table>
</file>

<file path=xl/tables/table3.xml><?xml version="1.0" encoding="utf-8"?>
<table xmlns="http://schemas.openxmlformats.org/spreadsheetml/2006/main" id="3" name="Table3" displayName="Table3" ref="N17:P22" totalsRowShown="0" dataDxfId="36" headerRowBorderDxfId="37" headerRowDxfId="38" tableBorderDxfId="35" totalsRowBorderDxfId="34">
  <autoFilter ref="N17:P22"/>
  <tableColumns>
    <tableColumn id="1" name="Treatment type"/>
    <tableColumn id="2" name="P removal"/>
    <tableColumn id="3" name="N removal"/>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4" dT="2025-11-27T12:04:26.49" personId="{A624E085-4EFE-4F72-9802-22E2568F2921}" id="{472742E2-21FE-4911-B5E0-F233D5403377}">
    <text>Missing from NE and WINEP</text>
  </threadedComment>
</ThreadedComments>
</file>

<file path=xl/worksheets/_rels/sheet1.xml.rels><?xml version="1.0" encoding="utf-8" standalone="yes"?><Relationships xmlns="http://schemas.openxmlformats.org/package/2006/relationships"><Relationship Id="rId3" Type="http://schemas.openxmlformats.org/officeDocument/2006/relationships/hyperlink" Target="https://mapapps2.bgs.ac.uk/ukso/home.html?layers=NVZEng" TargetMode="External" /><Relationship Id="rId7" Type="http://schemas.openxmlformats.org/officeDocument/2006/relationships/drawing" Target="/xl/drawings/drawing1.xml" /><Relationship Id="rId4" Type="http://schemas.openxmlformats.org/officeDocument/2006/relationships/hyperlink" Target="http://www.landis.org.uk/soilscapes/index.cfm" TargetMode="External" /><Relationship Id="rId6" Type="http://schemas.openxmlformats.org/officeDocument/2006/relationships/customProperty" Target="/xl/customProperty1.bin" /><Relationship Id="rId1" Type="http://schemas.openxmlformats.org/officeDocument/2006/relationships/hyperlink" Target="https://gridreferencefinder.com/" TargetMode="External" /><Relationship Id="rId5" Type="http://schemas.openxmlformats.org/officeDocument/2006/relationships/printerSettings" Target="../printerSettings/printerSettings1.bin" /><Relationship Id="rId2" Type="http://schemas.openxmlformats.org/officeDocument/2006/relationships/hyperlink" Target="https://environment.data.gov.uk/catchment-planning/ManagementCatchment/3008" TargetMode="External" /></Relationships>
</file>

<file path=xl/worksheets/_rels/sheet10.xml.rels><?xml version="1.0" encoding="utf-8" standalone="yes"?><Relationships xmlns="http://schemas.openxmlformats.org/package/2006/relationships"><Relationship Id="rId2" Type="http://schemas.openxmlformats.org/officeDocument/2006/relationships/customProperty" Target="/xl/customProperty9.bin" /><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3" Type="http://schemas.openxmlformats.org/officeDocument/2006/relationships/drawing" Target="/xl/drawings/drawing2.xml" /><Relationship Id="rId2" Type="http://schemas.openxmlformats.org/officeDocument/2006/relationships/customProperty" Target="/xl/customProperty10.bin" /><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2" Type="http://schemas.openxmlformats.org/officeDocument/2006/relationships/customProperty" Target="/xl/customProperty11.bin" /><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customProperty" Target="/xl/customProperty12.bin" /></Relationships>
</file>

<file path=xl/worksheets/_rels/sheet14.xml.rels><?xml version="1.0" encoding="utf-8" standalone="yes"?><Relationships xmlns="http://schemas.openxmlformats.org/package/2006/relationships"><Relationship Id="rId8" Type="http://schemas.microsoft.com/office/2017/10/relationships/threadedComment" Target="../threadedComments/threadedComment1.xml" /><Relationship Id="rId3" Type="http://schemas.openxmlformats.org/officeDocument/2006/relationships/vmlDrawing" Target="/xl/drawings/vmlDrawing1.vml" /><Relationship Id="rId7" Type="http://schemas.openxmlformats.org/officeDocument/2006/relationships/comments" Target="/xl/comments1.xml" /><Relationship Id="rId2" Type="http://schemas.openxmlformats.org/officeDocument/2006/relationships/customProperty" Target="/xl/customProperty13.bin" /><Relationship Id="rId1" Type="http://schemas.openxmlformats.org/officeDocument/2006/relationships/printerSettings" Target="../printerSettings/printerSettings13.bin" /><Relationship Id="rId6" Type="http://schemas.openxmlformats.org/officeDocument/2006/relationships/table" Target="../tables/table3.xml" /><Relationship Id="rId5" Type="http://schemas.openxmlformats.org/officeDocument/2006/relationships/table" Target="../tables/table2.xml" /><Relationship Id="rId4" Type="http://schemas.openxmlformats.org/officeDocument/2006/relationships/table" Target="../tables/table1.xml" /><Relationship Id="rId9" Type="http://schemas.openxmlformats.org/officeDocument/2006/relationships/table" Target="/xl/tables/table1.xml" /><Relationship Id="rId10" Type="http://schemas.openxmlformats.org/officeDocument/2006/relationships/table" Target="/xl/tables/table2.xml" /><Relationship Id="rId11" Type="http://schemas.openxmlformats.org/officeDocument/2006/relationships/table" Target="/xl/tables/table3.xml" /></Relationships>
</file>

<file path=xl/worksheets/_rels/sheet2.xml.rels><?xml version="1.0" encoding="utf-8" standalone="yes"?><Relationships xmlns="http://schemas.openxmlformats.org/package/2006/relationships"><Relationship Id="rId2" Type="http://schemas.openxmlformats.org/officeDocument/2006/relationships/customProperty" Target="/xl/customProperty2.bin" /><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2" Type="http://schemas.openxmlformats.org/officeDocument/2006/relationships/customProperty" Target="/xl/customProperty3.bin"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2" Type="http://schemas.openxmlformats.org/officeDocument/2006/relationships/customProperty" Target="/xl/customProperty4.bin" /><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2" Type="http://schemas.openxmlformats.org/officeDocument/2006/relationships/customProperty" Target="/xl/customProperty5.bin" /><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2" Type="http://schemas.openxmlformats.org/officeDocument/2006/relationships/customProperty" Target="/xl/customProperty6.bin" /><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2" Type="http://schemas.openxmlformats.org/officeDocument/2006/relationships/customProperty" Target="/xl/customProperty7.bin" /><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2" Type="http://schemas.openxmlformats.org/officeDocument/2006/relationships/customProperty" Target="/xl/customProperty8.bin" /><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79998168889431442"/>
  </sheetPr>
  <dimension ref="A1:AA226"/>
  <sheetViews>
    <sheetView topLeftCell="A103" zoomScale="80" view="normal" workbookViewId="0">
      <selection pane="topLeft" activeCell="H114" sqref="H114"/>
    </sheetView>
  </sheetViews>
  <sheetFormatPr defaultRowHeight="13.2"/>
  <cols>
    <col min="1" max="1" width="5.27734375" customWidth="1"/>
    <col min="2" max="2" width="1.28515625" customWidth="1"/>
    <col min="3" max="3" width="7.41796875" customWidth="1"/>
    <col min="4" max="4" width="5.7109375" customWidth="1"/>
    <col min="6" max="6" width="10.7109375" customWidth="1"/>
    <col min="7" max="7" width="15.5703125" customWidth="1"/>
    <col min="8" max="8" width="14.84765625" customWidth="1"/>
    <col min="9" max="9" width="14.7109375" customWidth="1"/>
    <col min="10" max="10" width="14.41796875" customWidth="1"/>
    <col min="13" max="13" width="47.41796875" customWidth="1"/>
    <col min="14" max="14" width="8.7109375" customWidth="1"/>
    <col min="15" max="15" width="5.41796875" customWidth="1"/>
    <col min="16" max="16" width="59.7109375" customWidth="1"/>
    <col min="17" max="17" width="1.42578125" customWidth="1"/>
  </cols>
  <sheetData>
    <row r="1" spans="1:1" ht="14.4" thickBot="1">
      <c r="A1" s="40" t="s">
        <v>0</v>
      </c>
    </row>
    <row r="2" spans="2:17" ht="14.7" customHeight="1">
      <c r="B2" s="1"/>
      <c r="C2" s="33"/>
      <c r="D2" s="33"/>
      <c r="E2" s="33"/>
      <c r="F2" s="33"/>
      <c r="G2" s="33"/>
      <c r="H2" s="33"/>
      <c r="I2" s="33"/>
      <c r="J2" s="33"/>
      <c r="K2" s="33"/>
      <c r="L2" s="33"/>
      <c r="M2" s="33"/>
      <c r="N2" s="33"/>
      <c r="O2" s="33"/>
      <c r="P2" s="33"/>
      <c r="Q2" s="3"/>
    </row>
    <row r="3" spans="2:17" ht="12" customHeight="1">
      <c r="B3" s="4"/>
      <c r="C3" s="38" t="s">
        <v>1</v>
      </c>
      <c r="D3" s="37"/>
      <c r="E3" s="37"/>
      <c r="F3" s="37"/>
      <c r="G3" s="37"/>
      <c r="H3" s="12"/>
      <c r="I3" s="12"/>
      <c r="J3" s="12"/>
      <c r="K3" s="12"/>
      <c r="L3" s="12"/>
      <c r="M3" s="23"/>
      <c r="N3" s="12"/>
      <c r="O3" s="12"/>
      <c r="P3" s="12"/>
      <c r="Q3" s="6"/>
    </row>
    <row r="4" spans="2:17" ht="11.7" customHeight="1">
      <c r="B4" s="4"/>
      <c r="C4" s="12"/>
      <c r="D4" s="12"/>
      <c r="E4" s="12"/>
      <c r="F4" s="12"/>
      <c r="G4" s="12"/>
      <c r="H4" s="12"/>
      <c r="I4" s="12"/>
      <c r="J4" s="12"/>
      <c r="K4" s="12"/>
      <c r="L4" s="12"/>
      <c r="M4" s="12"/>
      <c r="N4" s="12"/>
      <c r="O4" s="12"/>
      <c r="P4" s="12"/>
      <c r="Q4" s="6"/>
    </row>
    <row r="5" spans="2:17" ht="6" customHeight="1">
      <c r="B5" s="4"/>
      <c r="C5" s="12"/>
      <c r="D5" s="12"/>
      <c r="E5" s="12"/>
      <c r="F5" s="12"/>
      <c r="G5" s="12"/>
      <c r="H5" s="12"/>
      <c r="I5" s="12"/>
      <c r="J5" s="12"/>
      <c r="K5" s="12"/>
      <c r="L5" s="12"/>
      <c r="M5" s="12"/>
      <c r="N5" s="12"/>
      <c r="O5" s="12"/>
      <c r="P5" s="12"/>
      <c r="Q5" s="6"/>
    </row>
    <row r="6" spans="2:17">
      <c r="B6" s="4"/>
      <c r="C6" s="5"/>
      <c r="D6" s="5"/>
      <c r="E6" s="35"/>
      <c r="F6" s="12"/>
      <c r="G6" s="12"/>
      <c r="H6" s="12"/>
      <c r="I6" s="12"/>
      <c r="J6" s="12"/>
      <c r="K6" s="12"/>
      <c r="M6" s="12"/>
      <c r="N6" s="12"/>
      <c r="O6" s="12"/>
      <c r="P6" s="12"/>
      <c r="Q6" s="6"/>
    </row>
    <row r="7" spans="2:17" ht="103.5" customHeight="1">
      <c r="B7" s="4"/>
      <c r="C7" s="397" t="s">
        <v>2</v>
      </c>
      <c r="D7" s="397"/>
      <c r="F7" s="41"/>
      <c r="G7" s="41"/>
      <c r="H7" s="70"/>
      <c r="I7" s="41"/>
      <c r="J7" s="41"/>
      <c r="K7" s="41"/>
      <c r="L7" s="41"/>
      <c r="M7" s="41"/>
      <c r="N7" s="41"/>
      <c r="O7" s="41"/>
      <c r="P7" s="41"/>
      <c r="Q7" s="6"/>
    </row>
    <row r="8" spans="2:17" ht="99" customHeight="1">
      <c r="B8" s="4"/>
      <c r="C8" s="139" t="s">
        <v>3</v>
      </c>
      <c r="D8" s="139"/>
      <c r="E8" s="139"/>
      <c r="F8" s="139"/>
      <c r="G8" s="139"/>
      <c r="H8" s="139"/>
      <c r="I8" s="139"/>
      <c r="J8" s="139"/>
      <c r="K8" s="139"/>
      <c r="L8" s="139"/>
      <c r="M8" s="139"/>
      <c r="N8" s="139"/>
      <c r="O8" s="139"/>
      <c r="P8" s="139"/>
      <c r="Q8" s="6"/>
    </row>
    <row r="9" spans="2:17" ht="153" customHeight="1">
      <c r="B9" s="4"/>
      <c r="C9" s="139" t="s">
        <v>4</v>
      </c>
      <c r="D9" s="139"/>
      <c r="E9" s="139"/>
      <c r="F9" s="139"/>
      <c r="G9" s="139"/>
      <c r="H9" s="139"/>
      <c r="I9" s="139"/>
      <c r="J9" s="139"/>
      <c r="K9" s="139"/>
      <c r="L9" s="139"/>
      <c r="M9" s="139"/>
      <c r="N9" s="139"/>
      <c r="O9" s="139"/>
      <c r="P9" s="139"/>
      <c r="Q9" s="6"/>
    </row>
    <row r="10" spans="2:17" ht="69" customHeight="1">
      <c r="B10" s="4"/>
      <c r="C10" s="139" t="s">
        <v>5</v>
      </c>
      <c r="D10" s="139"/>
      <c r="E10" s="139"/>
      <c r="F10" s="139"/>
      <c r="G10" s="139"/>
      <c r="H10" s="139"/>
      <c r="I10" s="139"/>
      <c r="J10" s="139"/>
      <c r="K10" s="139"/>
      <c r="L10" s="139"/>
      <c r="M10" s="139"/>
      <c r="N10" s="139"/>
      <c r="O10" s="139"/>
      <c r="P10" s="139"/>
      <c r="Q10" s="6"/>
    </row>
    <row r="11" spans="2:17" ht="196.5" customHeight="1">
      <c r="B11" s="4"/>
      <c r="C11" s="139" t="s">
        <v>6</v>
      </c>
      <c r="D11" s="139"/>
      <c r="E11" s="139"/>
      <c r="F11" s="139"/>
      <c r="G11" s="139"/>
      <c r="H11" s="139"/>
      <c r="I11" s="139"/>
      <c r="J11" s="139"/>
      <c r="K11" s="139"/>
      <c r="L11" s="139"/>
      <c r="M11" s="139"/>
      <c r="N11" s="139"/>
      <c r="O11" s="139"/>
      <c r="P11" s="139"/>
      <c r="Q11" s="6"/>
    </row>
    <row r="12" spans="2:17" ht="23.1" customHeight="1">
      <c r="B12" s="4"/>
      <c r="C12" s="139" t="s">
        <v>7</v>
      </c>
      <c r="D12" s="139"/>
      <c r="E12" s="139"/>
      <c r="F12" s="139"/>
      <c r="G12" s="139"/>
      <c r="H12" s="139"/>
      <c r="I12" s="139"/>
      <c r="J12" s="139"/>
      <c r="K12" s="139"/>
      <c r="L12" s="139"/>
      <c r="M12" s="139"/>
      <c r="N12" s="139"/>
      <c r="O12" s="139"/>
      <c r="P12" s="139"/>
      <c r="Q12" s="6"/>
    </row>
    <row r="13" spans="2:17" ht="16.2" customHeight="1">
      <c r="B13" s="4"/>
      <c r="C13" s="139"/>
      <c r="D13" s="139"/>
      <c r="E13" s="139"/>
      <c r="F13" s="139"/>
      <c r="G13" s="139"/>
      <c r="H13" s="139"/>
      <c r="I13" s="139"/>
      <c r="J13" s="139"/>
      <c r="K13" s="139"/>
      <c r="L13" s="139"/>
      <c r="M13" s="139"/>
      <c r="N13" s="139"/>
      <c r="O13" s="139"/>
      <c r="P13" s="139"/>
      <c r="Q13" s="6"/>
    </row>
    <row r="14" spans="2:17" ht="49.2" customHeight="1">
      <c r="B14" s="4"/>
      <c r="C14" s="139" t="s">
        <v>8</v>
      </c>
      <c r="D14" s="139"/>
      <c r="E14" s="139"/>
      <c r="F14" s="139"/>
      <c r="G14" s="139"/>
      <c r="H14" s="139"/>
      <c r="I14" s="139"/>
      <c r="J14" s="139"/>
      <c r="K14" s="139"/>
      <c r="L14" s="139"/>
      <c r="M14" s="139"/>
      <c r="N14" s="139"/>
      <c r="O14" s="139"/>
      <c r="P14" s="139"/>
      <c r="Q14" s="6"/>
    </row>
    <row r="15" spans="2:17" ht="34.2" customHeight="1">
      <c r="B15" s="4"/>
      <c r="C15" s="139" t="s">
        <v>9</v>
      </c>
      <c r="D15" s="139"/>
      <c r="E15" s="139"/>
      <c r="F15" s="139"/>
      <c r="G15" s="139"/>
      <c r="H15" s="139"/>
      <c r="I15" s="139"/>
      <c r="J15" s="139"/>
      <c r="K15" s="139"/>
      <c r="L15" s="139"/>
      <c r="M15" s="139"/>
      <c r="N15" s="139"/>
      <c r="O15" s="139"/>
      <c r="P15" s="139"/>
      <c r="Q15" s="6"/>
    </row>
    <row r="16" spans="2:17" ht="19.5" customHeight="1">
      <c r="B16" s="4"/>
      <c r="C16" s="139" t="s">
        <v>10</v>
      </c>
      <c r="D16" s="139"/>
      <c r="E16" s="139"/>
      <c r="F16" s="139"/>
      <c r="G16" s="139"/>
      <c r="H16" s="139"/>
      <c r="I16" s="139"/>
      <c r="J16" s="139"/>
      <c r="K16" s="139"/>
      <c r="L16" s="139"/>
      <c r="M16" s="139"/>
      <c r="N16" s="139"/>
      <c r="O16" s="139"/>
      <c r="P16" s="139"/>
      <c r="Q16" s="6"/>
    </row>
    <row r="17" spans="2:17" ht="139.95" customHeight="1">
      <c r="B17" s="4"/>
      <c r="C17" s="139"/>
      <c r="D17" s="139"/>
      <c r="E17" s="139"/>
      <c r="F17" s="139"/>
      <c r="G17" s="139"/>
      <c r="H17" s="139"/>
      <c r="I17" s="139"/>
      <c r="J17" s="139"/>
      <c r="K17" s="139"/>
      <c r="L17" s="139"/>
      <c r="M17" s="139"/>
      <c r="N17" s="139"/>
      <c r="O17" s="139"/>
      <c r="P17" s="139"/>
      <c r="Q17" s="6"/>
    </row>
    <row r="18" spans="2:17" ht="17.1" customHeight="1">
      <c r="B18" s="4"/>
      <c r="C18" s="340" t="s">
        <v>11</v>
      </c>
      <c r="D18" s="49"/>
      <c r="E18" s="49"/>
      <c r="F18" s="49"/>
      <c r="G18" s="49"/>
      <c r="H18" s="49"/>
      <c r="I18" s="49"/>
      <c r="J18" s="49"/>
      <c r="K18" s="138"/>
      <c r="L18" s="138"/>
      <c r="M18" s="138"/>
      <c r="N18" s="138"/>
      <c r="O18" s="138"/>
      <c r="P18" s="138"/>
      <c r="Q18" s="6"/>
    </row>
    <row r="19" spans="2:17" ht="5.1" customHeight="1">
      <c r="B19" s="4"/>
      <c r="C19" s="38"/>
      <c r="D19" s="49"/>
      <c r="E19" s="49"/>
      <c r="F19" s="49"/>
      <c r="G19" s="49"/>
      <c r="H19" s="49"/>
      <c r="I19" s="49"/>
      <c r="J19" s="49"/>
      <c r="K19" s="138"/>
      <c r="L19" s="138"/>
      <c r="M19" s="138"/>
      <c r="N19" s="138"/>
      <c r="O19" s="138"/>
      <c r="P19" s="138"/>
      <c r="Q19" s="6"/>
    </row>
    <row r="20" spans="2:17" ht="56.1" customHeight="1">
      <c r="B20" s="4"/>
      <c r="C20" s="139" t="s">
        <v>12</v>
      </c>
      <c r="D20" s="139"/>
      <c r="E20" s="139"/>
      <c r="F20" s="139"/>
      <c r="G20" s="139"/>
      <c r="H20" s="139"/>
      <c r="I20" s="139"/>
      <c r="J20" s="139"/>
      <c r="K20" s="139"/>
      <c r="L20" s="139"/>
      <c r="M20" s="139"/>
      <c r="N20" s="139"/>
      <c r="O20" s="139"/>
      <c r="P20" s="139"/>
      <c r="Q20" s="6"/>
    </row>
    <row r="21" spans="2:17" ht="16.2" customHeight="1">
      <c r="B21" s="4"/>
      <c r="C21" s="138" t="s">
        <v>13</v>
      </c>
      <c r="D21" s="138"/>
      <c r="E21" s="138"/>
      <c r="F21" s="138"/>
      <c r="G21" s="138"/>
      <c r="H21" s="138"/>
      <c r="I21" s="138"/>
      <c r="J21" s="138"/>
      <c r="K21" s="138"/>
      <c r="L21" s="138"/>
      <c r="M21" s="138"/>
      <c r="N21" s="138"/>
      <c r="O21" s="138"/>
      <c r="P21" s="138"/>
      <c r="Q21" s="6"/>
    </row>
    <row r="22" spans="2:17" ht="44.7" customHeight="1">
      <c r="B22" s="4"/>
      <c r="C22" s="139" t="s">
        <v>14</v>
      </c>
      <c r="D22" s="139"/>
      <c r="E22" s="139"/>
      <c r="F22" s="139"/>
      <c r="G22" s="139"/>
      <c r="H22" s="139"/>
      <c r="I22" s="139"/>
      <c r="J22" s="139"/>
      <c r="K22" s="139"/>
      <c r="L22" s="139"/>
      <c r="M22" s="139"/>
      <c r="N22" s="139"/>
      <c r="O22" s="139"/>
      <c r="P22" s="139"/>
      <c r="Q22" s="6"/>
    </row>
    <row r="23" spans="2:17" ht="98.1" customHeight="1">
      <c r="B23" s="4"/>
      <c r="C23" s="139" t="s">
        <v>15</v>
      </c>
      <c r="D23" s="139"/>
      <c r="E23" s="139"/>
      <c r="F23" s="139"/>
      <c r="G23" s="139"/>
      <c r="H23" s="139"/>
      <c r="I23" s="139"/>
      <c r="J23" s="139"/>
      <c r="K23" s="139"/>
      <c r="L23" s="139"/>
      <c r="M23" s="139"/>
      <c r="N23" s="139"/>
      <c r="O23" s="139"/>
      <c r="P23" s="139"/>
      <c r="Q23" s="6"/>
    </row>
    <row r="24" spans="2:17" ht="31.5" customHeight="1">
      <c r="B24" s="4"/>
      <c r="C24" s="138" t="s">
        <v>16</v>
      </c>
      <c r="D24" s="138"/>
      <c r="E24" s="138"/>
      <c r="F24" s="138"/>
      <c r="G24" s="138"/>
      <c r="H24" s="138"/>
      <c r="I24" s="138"/>
      <c r="J24" s="138"/>
      <c r="K24" s="138"/>
      <c r="L24" s="138"/>
      <c r="M24" s="138"/>
      <c r="N24" s="138"/>
      <c r="O24" s="138"/>
      <c r="P24" s="138"/>
      <c r="Q24" s="6"/>
    </row>
    <row r="25" spans="2:17" ht="16.2" customHeight="1">
      <c r="B25" s="4"/>
      <c r="C25" s="138" t="s">
        <v>17</v>
      </c>
      <c r="D25" s="138"/>
      <c r="E25" s="138"/>
      <c r="F25" s="138"/>
      <c r="G25" s="138"/>
      <c r="H25" s="138"/>
      <c r="I25" s="138"/>
      <c r="J25" s="138"/>
      <c r="K25" s="138"/>
      <c r="L25" s="138"/>
      <c r="M25" s="138"/>
      <c r="N25" s="138"/>
      <c r="O25" s="138"/>
      <c r="P25" s="138"/>
      <c r="Q25" s="6"/>
    </row>
    <row r="26" spans="2:17" ht="9.6" customHeight="1">
      <c r="B26" s="4"/>
      <c r="C26" s="139"/>
      <c r="D26" s="139"/>
      <c r="E26" s="139"/>
      <c r="F26" s="139"/>
      <c r="G26" s="139"/>
      <c r="H26" s="139"/>
      <c r="I26" s="139"/>
      <c r="J26" s="139"/>
      <c r="K26" s="139"/>
      <c r="L26" s="139"/>
      <c r="M26" s="139"/>
      <c r="N26" s="139"/>
      <c r="O26" s="139"/>
      <c r="P26" s="139"/>
      <c r="Q26" s="6"/>
    </row>
    <row r="27" spans="2:17" ht="15.6">
      <c r="B27" s="4"/>
      <c r="C27" s="398" t="s">
        <v>18</v>
      </c>
      <c r="D27" s="398"/>
      <c r="E27" s="49"/>
      <c r="F27" s="49"/>
      <c r="G27" s="49"/>
      <c r="H27" s="49"/>
      <c r="I27" s="49"/>
      <c r="J27" s="49"/>
      <c r="K27" s="49"/>
      <c r="L27" s="49"/>
      <c r="M27" s="49"/>
      <c r="N27" s="49"/>
      <c r="O27" s="49"/>
      <c r="P27" s="49"/>
      <c r="Q27" s="6"/>
    </row>
    <row r="28" spans="2:17" ht="5.7" customHeight="1">
      <c r="B28" s="4"/>
      <c r="C28" s="49"/>
      <c r="D28" s="49"/>
      <c r="E28" s="49"/>
      <c r="F28" s="49"/>
      <c r="G28" s="49"/>
      <c r="H28" s="49"/>
      <c r="I28" s="49"/>
      <c r="J28" s="49"/>
      <c r="K28" s="49"/>
      <c r="L28" s="49"/>
      <c r="M28" s="49"/>
      <c r="N28" s="49"/>
      <c r="O28" s="49"/>
      <c r="P28" s="49"/>
      <c r="Q28" s="6"/>
    </row>
    <row r="29" spans="2:17" ht="15.6">
      <c r="B29" s="4"/>
      <c r="C29" s="138" t="s">
        <v>19</v>
      </c>
      <c r="D29" s="138"/>
      <c r="E29" s="138"/>
      <c r="F29" s="138"/>
      <c r="G29" s="138"/>
      <c r="H29" s="138"/>
      <c r="I29" s="138"/>
      <c r="J29" s="138"/>
      <c r="K29" s="138"/>
      <c r="L29" s="138"/>
      <c r="M29" s="49"/>
      <c r="N29" s="49"/>
      <c r="O29" s="49"/>
      <c r="P29" s="49"/>
      <c r="Q29" s="6"/>
    </row>
    <row r="30" spans="2:17" ht="15.6">
      <c r="B30" s="4"/>
      <c r="C30" s="138"/>
      <c r="D30" s="49"/>
      <c r="E30" s="49"/>
      <c r="F30" s="49"/>
      <c r="G30" s="49"/>
      <c r="H30" s="49"/>
      <c r="I30" s="49"/>
      <c r="J30" s="49"/>
      <c r="K30" s="49"/>
      <c r="L30" s="49"/>
      <c r="M30" s="49"/>
      <c r="N30" s="49"/>
      <c r="O30" s="49"/>
      <c r="P30" s="49"/>
      <c r="Q30" s="6"/>
    </row>
    <row r="31" spans="2:17" ht="15.6">
      <c r="B31" s="4"/>
      <c r="C31" s="186"/>
      <c r="D31" s="49"/>
      <c r="E31" s="138" t="s">
        <v>20</v>
      </c>
      <c r="F31" s="138"/>
      <c r="G31" s="138"/>
      <c r="H31" s="138"/>
      <c r="I31" s="138"/>
      <c r="J31" s="138"/>
      <c r="K31" s="138"/>
      <c r="L31" s="138"/>
      <c r="M31" s="49"/>
      <c r="N31" s="49"/>
      <c r="O31" s="49"/>
      <c r="P31" s="49"/>
      <c r="Q31" s="6"/>
    </row>
    <row r="32" spans="2:17" ht="15.6">
      <c r="B32" s="4"/>
      <c r="C32" s="187"/>
      <c r="D32" s="49"/>
      <c r="E32" s="138" t="s">
        <v>21</v>
      </c>
      <c r="F32" s="138"/>
      <c r="G32" s="138"/>
      <c r="H32" s="138"/>
      <c r="I32" s="138"/>
      <c r="J32" s="138"/>
      <c r="K32" s="138"/>
      <c r="L32" s="138"/>
      <c r="M32" s="49"/>
      <c r="N32" s="49"/>
      <c r="O32" s="49"/>
      <c r="P32" s="49"/>
      <c r="Q32" s="6"/>
    </row>
    <row r="33" spans="2:17" ht="15.6">
      <c r="B33" s="4"/>
      <c r="C33" s="350"/>
      <c r="D33" s="49"/>
      <c r="E33" s="138" t="s">
        <v>22</v>
      </c>
      <c r="F33" s="138"/>
      <c r="G33" s="138"/>
      <c r="H33" s="138"/>
      <c r="I33" s="138"/>
      <c r="J33" s="138"/>
      <c r="K33" s="138"/>
      <c r="L33" s="138"/>
      <c r="M33" s="138"/>
      <c r="N33" s="49"/>
      <c r="O33" s="49"/>
      <c r="P33" s="49"/>
      <c r="Q33" s="6"/>
    </row>
    <row r="34" spans="2:17" ht="11.7" customHeight="1">
      <c r="B34" s="4"/>
      <c r="C34" s="49"/>
      <c r="D34" s="49"/>
      <c r="E34" s="49"/>
      <c r="F34" s="49"/>
      <c r="G34" s="49"/>
      <c r="H34" s="49"/>
      <c r="I34" s="49"/>
      <c r="J34" s="49"/>
      <c r="K34" s="49"/>
      <c r="L34" s="49"/>
      <c r="M34" s="49"/>
      <c r="N34" s="49"/>
      <c r="O34" s="49"/>
      <c r="P34" s="49"/>
      <c r="Q34" s="6"/>
    </row>
    <row r="35" spans="2:17" ht="15.6">
      <c r="B35" s="4"/>
      <c r="C35" s="142" t="s">
        <v>23</v>
      </c>
      <c r="D35" s="142"/>
      <c r="E35" s="38"/>
      <c r="F35" s="38"/>
      <c r="G35" s="38"/>
      <c r="H35" s="38"/>
      <c r="I35" s="38"/>
      <c r="J35" s="38"/>
      <c r="K35" s="38"/>
      <c r="L35" s="38"/>
      <c r="M35" s="38"/>
      <c r="N35" s="38"/>
      <c r="O35" s="38"/>
      <c r="P35" s="38"/>
      <c r="Q35" s="6"/>
    </row>
    <row r="36" spans="2:17" ht="13.5" customHeight="1">
      <c r="B36" s="4"/>
      <c r="C36" s="142"/>
      <c r="D36" s="142"/>
      <c r="E36" s="142"/>
      <c r="F36" s="142"/>
      <c r="G36" s="142"/>
      <c r="H36" s="142"/>
      <c r="I36" s="142"/>
      <c r="J36" s="142"/>
      <c r="K36" s="142"/>
      <c r="L36" s="142"/>
      <c r="M36" s="142"/>
      <c r="N36" s="142"/>
      <c r="O36" s="142"/>
      <c r="P36" s="142"/>
      <c r="Q36" s="6"/>
    </row>
    <row r="37" spans="2:17" ht="273" customHeight="1">
      <c r="B37" s="4"/>
      <c r="C37" s="139" t="s">
        <v>24</v>
      </c>
      <c r="D37" s="139"/>
      <c r="E37" s="139"/>
      <c r="F37" s="139"/>
      <c r="G37" s="139"/>
      <c r="H37" s="139"/>
      <c r="I37" s="139"/>
      <c r="J37" s="139"/>
      <c r="K37" s="139"/>
      <c r="L37" s="139"/>
      <c r="M37" s="139"/>
      <c r="N37" s="139"/>
      <c r="O37" s="139"/>
      <c r="P37" s="139"/>
      <c r="Q37" s="6"/>
    </row>
    <row r="38" spans="2:17" ht="15.6">
      <c r="B38" s="4"/>
      <c r="C38" s="142" t="s">
        <v>25</v>
      </c>
      <c r="D38" s="142"/>
      <c r="E38" s="38"/>
      <c r="F38" s="38"/>
      <c r="G38" s="38"/>
      <c r="H38" s="38"/>
      <c r="I38" s="38"/>
      <c r="J38" s="38"/>
      <c r="K38" s="38"/>
      <c r="L38" s="38"/>
      <c r="M38" s="38"/>
      <c r="N38" s="38"/>
      <c r="O38" s="38"/>
      <c r="P38" s="38"/>
      <c r="Q38" s="6"/>
    </row>
    <row r="39" spans="2:17" ht="4.2" customHeight="1">
      <c r="B39" s="4"/>
      <c r="C39" s="38"/>
      <c r="D39" s="38"/>
      <c r="E39" s="38"/>
      <c r="F39" s="38"/>
      <c r="G39" s="38"/>
      <c r="H39" s="38"/>
      <c r="I39" s="38"/>
      <c r="J39" s="38"/>
      <c r="K39" s="38"/>
      <c r="L39" s="38"/>
      <c r="M39" s="38"/>
      <c r="N39" s="38"/>
      <c r="O39" s="38"/>
      <c r="P39" s="38"/>
      <c r="Q39" s="6"/>
    </row>
    <row r="40" spans="2:17" ht="111" customHeight="1">
      <c r="B40" s="4"/>
      <c r="C40" s="393" t="s">
        <v>26</v>
      </c>
      <c r="D40" s="393"/>
      <c r="E40" s="393"/>
      <c r="F40" s="393"/>
      <c r="G40" s="393"/>
      <c r="H40" s="393"/>
      <c r="I40" s="393"/>
      <c r="J40" s="393"/>
      <c r="K40" s="393"/>
      <c r="L40" s="393"/>
      <c r="M40" s="393"/>
      <c r="N40" s="393"/>
      <c r="O40" s="393"/>
      <c r="P40" s="393"/>
      <c r="Q40" s="6"/>
    </row>
    <row r="41" spans="2:17" ht="8.7" customHeight="1">
      <c r="B41" s="4"/>
      <c r="C41" s="38"/>
      <c r="D41" s="38"/>
      <c r="E41" s="38"/>
      <c r="F41" s="38"/>
      <c r="G41" s="38"/>
      <c r="H41" s="38"/>
      <c r="I41" s="38"/>
      <c r="J41" s="38"/>
      <c r="K41" s="38"/>
      <c r="L41" s="38"/>
      <c r="M41" s="38"/>
      <c r="N41" s="38"/>
      <c r="O41" s="38"/>
      <c r="P41" s="38"/>
      <c r="Q41" s="6"/>
    </row>
    <row r="42" spans="2:17" ht="15.6">
      <c r="B42" s="4"/>
      <c r="C42" s="142" t="s">
        <v>27</v>
      </c>
      <c r="D42" s="142"/>
      <c r="E42" s="38"/>
      <c r="F42" s="38"/>
      <c r="G42" s="38"/>
      <c r="H42" s="38"/>
      <c r="I42" s="38"/>
      <c r="J42" s="38"/>
      <c r="K42" s="38"/>
      <c r="L42" s="38"/>
      <c r="M42" s="38"/>
      <c r="N42" s="38"/>
      <c r="O42" s="38"/>
      <c r="P42" s="38"/>
      <c r="Q42" s="6"/>
    </row>
    <row r="43" spans="2:17" ht="3" customHeight="1">
      <c r="B43" s="4"/>
      <c r="C43" s="38"/>
      <c r="D43" s="38"/>
      <c r="E43" s="38"/>
      <c r="F43" s="38"/>
      <c r="G43" s="38"/>
      <c r="H43" s="38"/>
      <c r="I43" s="38"/>
      <c r="J43" s="38"/>
      <c r="K43" s="38"/>
      <c r="L43" s="38"/>
      <c r="M43" s="38"/>
      <c r="N43" s="38"/>
      <c r="O43" s="38"/>
      <c r="P43" s="38"/>
      <c r="Q43" s="6"/>
    </row>
    <row r="44" spans="2:17" ht="81.45" customHeight="1">
      <c r="B44" s="4"/>
      <c r="C44" s="139" t="s">
        <v>28</v>
      </c>
      <c r="D44" s="139"/>
      <c r="E44" s="139"/>
      <c r="F44" s="139"/>
      <c r="G44" s="139"/>
      <c r="H44" s="139"/>
      <c r="I44" s="139"/>
      <c r="J44" s="139"/>
      <c r="K44" s="139"/>
      <c r="L44" s="139"/>
      <c r="M44" s="139"/>
      <c r="N44" s="139"/>
      <c r="O44" s="139"/>
      <c r="P44" s="139"/>
      <c r="Q44" s="6"/>
    </row>
    <row r="45" spans="2:17" ht="4.5" customHeight="1">
      <c r="B45" s="4"/>
      <c r="C45" s="38"/>
      <c r="D45" s="38"/>
      <c r="E45" s="38"/>
      <c r="F45" s="38"/>
      <c r="G45" s="38"/>
      <c r="H45" s="38"/>
      <c r="I45" s="38"/>
      <c r="J45" s="38"/>
      <c r="K45" s="38"/>
      <c r="L45" s="38"/>
      <c r="M45" s="38"/>
      <c r="N45" s="38"/>
      <c r="O45" s="38"/>
      <c r="P45" s="38"/>
      <c r="Q45" s="6"/>
    </row>
    <row r="46" spans="2:17" ht="19.5" customHeight="1">
      <c r="B46" s="4"/>
      <c r="C46" s="142" t="s">
        <v>29</v>
      </c>
      <c r="D46" s="142"/>
      <c r="E46" s="38"/>
      <c r="F46" s="38"/>
      <c r="G46" s="38"/>
      <c r="H46" s="38"/>
      <c r="I46" s="38"/>
      <c r="J46" s="38"/>
      <c r="K46" s="38"/>
      <c r="L46" s="38"/>
      <c r="M46" s="38"/>
      <c r="N46" s="38"/>
      <c r="O46" s="38"/>
      <c r="P46" s="38"/>
      <c r="Q46" s="6"/>
    </row>
    <row r="47" spans="2:17" ht="5.1" customHeight="1">
      <c r="B47" s="4"/>
      <c r="C47" s="38"/>
      <c r="D47" s="38"/>
      <c r="E47" s="38"/>
      <c r="F47" s="38"/>
      <c r="G47" s="38"/>
      <c r="H47" s="38"/>
      <c r="I47" s="38"/>
      <c r="J47" s="38"/>
      <c r="K47" s="38"/>
      <c r="L47" s="38"/>
      <c r="M47" s="38"/>
      <c r="N47" s="38"/>
      <c r="O47" s="38"/>
      <c r="P47" s="38"/>
      <c r="Q47" s="6"/>
    </row>
    <row r="48" spans="2:17" ht="57" customHeight="1">
      <c r="B48" s="4"/>
      <c r="C48" s="139" t="s">
        <v>30</v>
      </c>
      <c r="D48" s="139"/>
      <c r="E48" s="139"/>
      <c r="F48" s="139"/>
      <c r="G48" s="139"/>
      <c r="H48" s="139"/>
      <c r="I48" s="139"/>
      <c r="J48" s="139"/>
      <c r="K48" s="139"/>
      <c r="L48" s="139"/>
      <c r="M48" s="139"/>
      <c r="N48" s="139"/>
      <c r="O48" s="139"/>
      <c r="P48" s="139"/>
      <c r="Q48" s="6"/>
    </row>
    <row r="49" spans="2:17" ht="5.25" customHeight="1">
      <c r="B49" s="4"/>
      <c r="C49" s="38"/>
      <c r="D49" s="38"/>
      <c r="E49" s="38"/>
      <c r="F49" s="38"/>
      <c r="G49" s="38"/>
      <c r="H49" s="38"/>
      <c r="I49" s="38"/>
      <c r="J49" s="38"/>
      <c r="K49" s="38"/>
      <c r="L49" s="38"/>
      <c r="M49" s="38"/>
      <c r="N49" s="38"/>
      <c r="O49" s="38"/>
      <c r="P49" s="38"/>
      <c r="Q49" s="6"/>
    </row>
    <row r="50" spans="2:17" ht="15.6">
      <c r="B50" s="4"/>
      <c r="C50" s="142" t="s">
        <v>31</v>
      </c>
      <c r="D50" s="142"/>
      <c r="E50" s="142"/>
      <c r="F50" s="142"/>
      <c r="G50" s="38"/>
      <c r="H50" s="38"/>
      <c r="I50" s="38"/>
      <c r="J50" s="38"/>
      <c r="K50" s="38"/>
      <c r="L50" s="38"/>
      <c r="M50" s="38"/>
      <c r="N50" s="38"/>
      <c r="O50" s="38"/>
      <c r="P50" s="38"/>
      <c r="Q50" s="6"/>
    </row>
    <row r="51" spans="2:17" ht="4.5" customHeight="1">
      <c r="B51" s="4"/>
      <c r="C51" s="38"/>
      <c r="D51" s="38"/>
      <c r="E51" s="38"/>
      <c r="F51" s="38"/>
      <c r="G51" s="38"/>
      <c r="H51" s="38"/>
      <c r="I51" s="38"/>
      <c r="J51" s="38"/>
      <c r="K51" s="38"/>
      <c r="L51" s="38"/>
      <c r="M51" s="38"/>
      <c r="N51" s="38"/>
      <c r="O51" s="38"/>
      <c r="P51" s="38"/>
      <c r="Q51" s="6"/>
    </row>
    <row r="52" spans="2:17" ht="244.5" customHeight="1">
      <c r="B52" s="4"/>
      <c r="C52" s="139" t="s">
        <v>32</v>
      </c>
      <c r="D52" s="139"/>
      <c r="E52" s="139"/>
      <c r="F52" s="139"/>
      <c r="G52" s="139"/>
      <c r="H52" s="139"/>
      <c r="I52" s="139"/>
      <c r="J52" s="139"/>
      <c r="K52" s="139"/>
      <c r="L52" s="139"/>
      <c r="M52" s="139"/>
      <c r="N52" s="139"/>
      <c r="O52" s="139"/>
      <c r="P52" s="139"/>
      <c r="Q52" s="6"/>
    </row>
    <row r="53" spans="2:17" ht="4.5" customHeight="1">
      <c r="B53" s="4"/>
      <c r="C53" s="49"/>
      <c r="D53" s="49"/>
      <c r="E53" s="49"/>
      <c r="F53" s="49"/>
      <c r="G53" s="49"/>
      <c r="H53" s="49"/>
      <c r="I53" s="49"/>
      <c r="J53" s="49"/>
      <c r="K53" s="49"/>
      <c r="L53" s="49"/>
      <c r="M53" s="49"/>
      <c r="N53" s="49"/>
      <c r="O53" s="49"/>
      <c r="P53" s="49"/>
      <c r="Q53" s="6"/>
    </row>
    <row r="54" spans="2:17" ht="15.6">
      <c r="B54" s="4"/>
      <c r="C54" s="142" t="s">
        <v>33</v>
      </c>
      <c r="D54" s="142"/>
      <c r="E54" s="142"/>
      <c r="F54" s="142"/>
      <c r="G54" s="49"/>
      <c r="H54" s="49"/>
      <c r="I54" s="49"/>
      <c r="J54" s="49"/>
      <c r="K54" s="49"/>
      <c r="L54" s="49"/>
      <c r="M54" s="49"/>
      <c r="N54" s="49"/>
      <c r="O54" s="49"/>
      <c r="P54" s="49"/>
      <c r="Q54" s="6"/>
    </row>
    <row r="55" spans="2:17" ht="4.5" customHeight="1">
      <c r="B55" s="4"/>
      <c r="C55" s="38"/>
      <c r="D55" s="49"/>
      <c r="E55" s="49"/>
      <c r="F55" s="49"/>
      <c r="G55" s="49"/>
      <c r="H55" s="49"/>
      <c r="I55" s="49"/>
      <c r="J55" s="49"/>
      <c r="K55" s="49"/>
      <c r="L55" s="49"/>
      <c r="M55" s="49"/>
      <c r="N55" s="49"/>
      <c r="O55" s="49"/>
      <c r="P55" s="49"/>
      <c r="Q55" s="6"/>
    </row>
    <row r="56" spans="2:17" ht="40.5" customHeight="1">
      <c r="B56" s="4"/>
      <c r="C56" s="139" t="s">
        <v>34</v>
      </c>
      <c r="D56" s="139"/>
      <c r="E56" s="139"/>
      <c r="F56" s="139"/>
      <c r="G56" s="139"/>
      <c r="H56" s="139"/>
      <c r="I56" s="139"/>
      <c r="J56" s="139"/>
      <c r="K56" s="139"/>
      <c r="L56" s="139"/>
      <c r="M56" s="139"/>
      <c r="N56" s="139"/>
      <c r="O56" s="139"/>
      <c r="P56" s="139"/>
      <c r="Q56" s="6"/>
    </row>
    <row r="57" spans="2:17" ht="19.2" customHeight="1">
      <c r="B57" s="4"/>
      <c r="C57" s="142" t="s">
        <v>35</v>
      </c>
      <c r="D57" s="142"/>
      <c r="E57" s="142"/>
      <c r="F57" s="142"/>
      <c r="G57" s="49"/>
      <c r="H57" s="49"/>
      <c r="I57" s="49"/>
      <c r="J57" s="49"/>
      <c r="K57" s="49"/>
      <c r="L57" s="49"/>
      <c r="M57" s="49"/>
      <c r="N57" s="49"/>
      <c r="O57" s="49"/>
      <c r="P57" s="49"/>
      <c r="Q57" s="6"/>
    </row>
    <row r="58" spans="2:17" ht="3" customHeight="1">
      <c r="B58" s="4"/>
      <c r="C58" s="38"/>
      <c r="D58" s="49"/>
      <c r="E58" s="49"/>
      <c r="F58" s="49"/>
      <c r="G58" s="49"/>
      <c r="H58" s="49"/>
      <c r="I58" s="49"/>
      <c r="J58" s="49"/>
      <c r="K58" s="49"/>
      <c r="L58" s="49"/>
      <c r="M58" s="49"/>
      <c r="N58" s="49"/>
      <c r="O58" s="49"/>
      <c r="P58" s="49"/>
      <c r="Q58" s="6"/>
    </row>
    <row r="59" spans="2:17" ht="33.45" customHeight="1">
      <c r="B59" s="4"/>
      <c r="C59" s="139" t="s">
        <v>36</v>
      </c>
      <c r="D59" s="139"/>
      <c r="E59" s="139"/>
      <c r="F59" s="139"/>
      <c r="G59" s="139"/>
      <c r="H59" s="139"/>
      <c r="I59" s="139"/>
      <c r="J59" s="139"/>
      <c r="K59" s="139"/>
      <c r="L59" s="139"/>
      <c r="M59" s="139"/>
      <c r="N59" s="139"/>
      <c r="O59" s="139"/>
      <c r="P59" s="139"/>
      <c r="Q59" s="6"/>
    </row>
    <row r="60" spans="2:17" ht="7.2" customHeight="1">
      <c r="B60" s="4"/>
      <c r="C60" s="49"/>
      <c r="D60" s="49"/>
      <c r="E60" s="49"/>
      <c r="F60" s="49"/>
      <c r="G60" s="49"/>
      <c r="H60" s="49"/>
      <c r="I60" s="49"/>
      <c r="J60" s="49"/>
      <c r="K60" s="49"/>
      <c r="L60" s="49"/>
      <c r="M60" s="49"/>
      <c r="N60" s="49"/>
      <c r="O60" s="49"/>
      <c r="P60" s="49"/>
      <c r="Q60" s="6"/>
    </row>
    <row r="61" spans="2:17" ht="15.6">
      <c r="B61" s="4"/>
      <c r="C61" s="142" t="s">
        <v>37</v>
      </c>
      <c r="D61" s="142"/>
      <c r="E61" s="142"/>
      <c r="F61" s="142"/>
      <c r="G61" s="49"/>
      <c r="H61" s="49"/>
      <c r="I61" s="49"/>
      <c r="J61" s="49"/>
      <c r="K61" s="49"/>
      <c r="L61" s="49"/>
      <c r="M61" s="49"/>
      <c r="N61" s="49"/>
      <c r="O61" s="49"/>
      <c r="P61" s="49"/>
      <c r="Q61" s="6"/>
    </row>
    <row r="62" spans="2:17" ht="5.1" customHeight="1">
      <c r="B62" s="4"/>
      <c r="C62" s="49"/>
      <c r="D62" s="49"/>
      <c r="E62" s="49"/>
      <c r="F62" s="49"/>
      <c r="G62" s="49"/>
      <c r="H62" s="49"/>
      <c r="I62" s="49"/>
      <c r="J62" s="49"/>
      <c r="K62" s="49"/>
      <c r="L62" s="49"/>
      <c r="M62" s="49"/>
      <c r="N62" s="49"/>
      <c r="O62" s="49"/>
      <c r="P62" s="49"/>
      <c r="Q62" s="6"/>
    </row>
    <row r="63" spans="2:17" ht="28.5" customHeight="1">
      <c r="B63" s="4"/>
      <c r="C63" s="139" t="s">
        <v>38</v>
      </c>
      <c r="D63" s="139"/>
      <c r="E63" s="139"/>
      <c r="F63" s="139"/>
      <c r="G63" s="139"/>
      <c r="H63" s="139"/>
      <c r="I63" s="139"/>
      <c r="J63" s="139"/>
      <c r="K63" s="139"/>
      <c r="L63" s="139"/>
      <c r="M63" s="139"/>
      <c r="N63" s="139"/>
      <c r="O63" s="139"/>
      <c r="P63" s="139"/>
      <c r="Q63" s="6"/>
    </row>
    <row r="64" spans="2:17" ht="9.6" customHeight="1">
      <c r="B64" s="4"/>
      <c r="C64" s="49"/>
      <c r="D64" s="49"/>
      <c r="E64" s="49"/>
      <c r="F64" s="49"/>
      <c r="G64" s="49"/>
      <c r="H64" s="49"/>
      <c r="I64" s="49"/>
      <c r="J64" s="49"/>
      <c r="K64" s="49"/>
      <c r="L64" s="49"/>
      <c r="M64" s="49"/>
      <c r="N64" s="49"/>
      <c r="O64" s="49"/>
      <c r="P64" s="49"/>
      <c r="Q64" s="6"/>
    </row>
    <row r="65" spans="2:17" ht="9.6" customHeight="1">
      <c r="B65" s="4"/>
      <c r="C65" s="398" t="s">
        <v>39</v>
      </c>
      <c r="D65" s="398"/>
      <c r="E65" s="398"/>
      <c r="F65" s="49"/>
      <c r="G65" s="49"/>
      <c r="H65" s="49"/>
      <c r="I65" s="49"/>
      <c r="J65" s="49"/>
      <c r="K65" s="49"/>
      <c r="L65" s="49"/>
      <c r="M65" s="49"/>
      <c r="N65" s="49"/>
      <c r="O65" s="49"/>
      <c r="P65" s="49"/>
      <c r="Q65" s="6"/>
    </row>
    <row r="66" spans="2:17" ht="15.6">
      <c r="B66" s="4"/>
      <c r="C66" s="138" t="s">
        <v>40</v>
      </c>
      <c r="D66" s="138"/>
      <c r="E66" s="138"/>
      <c r="F66" s="138"/>
      <c r="G66" s="138"/>
      <c r="H66" s="138"/>
      <c r="I66" s="138"/>
      <c r="J66" s="138"/>
      <c r="K66" s="138"/>
      <c r="L66" s="138"/>
      <c r="M66" s="138"/>
      <c r="N66" s="138"/>
      <c r="O66" s="138"/>
      <c r="P66" s="138"/>
      <c r="Q66" s="6"/>
    </row>
    <row r="67" spans="2:17" ht="15.6">
      <c r="B67" s="4"/>
      <c r="C67" s="49"/>
      <c r="D67" s="49"/>
      <c r="E67" s="49"/>
      <c r="F67" s="49"/>
      <c r="G67" s="49"/>
      <c r="H67" s="49"/>
      <c r="I67" s="49"/>
      <c r="J67" s="49"/>
      <c r="K67" s="49"/>
      <c r="L67" s="49"/>
      <c r="M67" s="49"/>
      <c r="N67" s="49"/>
      <c r="O67" s="49"/>
      <c r="P67" s="49"/>
      <c r="Q67" s="6"/>
    </row>
    <row r="68" spans="2:17" ht="15.6">
      <c r="B68" s="4"/>
      <c r="C68" s="377" t="s">
        <v>41</v>
      </c>
      <c r="D68" s="377"/>
      <c r="E68" s="377"/>
      <c r="F68" s="377"/>
      <c r="G68" s="377" t="s">
        <v>42</v>
      </c>
      <c r="H68" s="377"/>
      <c r="I68" s="377"/>
      <c r="J68" s="377"/>
      <c r="K68" s="377"/>
      <c r="L68" s="377"/>
      <c r="M68" s="377"/>
      <c r="N68" s="377"/>
      <c r="O68" s="377"/>
      <c r="P68" s="377"/>
      <c r="Q68" s="6"/>
    </row>
    <row r="69" spans="2:17" ht="47.7" customHeight="1">
      <c r="B69" s="4"/>
      <c r="C69" s="379" t="s">
        <v>43</v>
      </c>
      <c r="D69" s="379"/>
      <c r="E69" s="379"/>
      <c r="F69" s="379"/>
      <c r="G69" s="346" t="s">
        <v>44</v>
      </c>
      <c r="H69" s="346"/>
      <c r="I69" s="346"/>
      <c r="J69" s="346"/>
      <c r="K69" s="346"/>
      <c r="L69" s="346"/>
      <c r="M69" s="346"/>
      <c r="N69" s="346"/>
      <c r="O69" s="346"/>
      <c r="P69" s="346"/>
      <c r="Q69" s="6"/>
    </row>
    <row r="70" spans="2:17" ht="33" customHeight="1">
      <c r="B70" s="4"/>
      <c r="C70" s="385" t="s">
        <v>45</v>
      </c>
      <c r="D70" s="386"/>
      <c r="E70" s="386"/>
      <c r="F70" s="387"/>
      <c r="G70" s="412" t="s">
        <v>46</v>
      </c>
      <c r="H70" s="413"/>
      <c r="I70" s="413"/>
      <c r="J70" s="413"/>
      <c r="K70" s="413"/>
      <c r="L70" s="413"/>
      <c r="M70" s="413"/>
      <c r="N70" s="413"/>
      <c r="O70" s="413"/>
      <c r="P70" s="414"/>
      <c r="Q70" s="6"/>
    </row>
    <row r="71" spans="2:17" ht="29.7" customHeight="1">
      <c r="B71" s="4"/>
      <c r="C71" s="385" t="s">
        <v>47</v>
      </c>
      <c r="D71" s="386"/>
      <c r="E71" s="386"/>
      <c r="F71" s="387"/>
      <c r="G71" s="412" t="s">
        <v>48</v>
      </c>
      <c r="H71" s="413"/>
      <c r="I71" s="413"/>
      <c r="J71" s="413"/>
      <c r="K71" s="413"/>
      <c r="L71" s="413"/>
      <c r="M71" s="413"/>
      <c r="N71" s="413"/>
      <c r="O71" s="413"/>
      <c r="P71" s="414"/>
      <c r="Q71" s="6"/>
    </row>
    <row r="72" spans="2:17" ht="81.6" customHeight="1">
      <c r="B72" s="4"/>
      <c r="C72" s="385" t="s">
        <v>49</v>
      </c>
      <c r="D72" s="386"/>
      <c r="E72" s="386"/>
      <c r="F72" s="387"/>
      <c r="G72" s="412" t="s">
        <v>50</v>
      </c>
      <c r="H72" s="413"/>
      <c r="I72" s="413"/>
      <c r="J72" s="413"/>
      <c r="K72" s="413"/>
      <c r="L72" s="413"/>
      <c r="M72" s="413"/>
      <c r="N72" s="413"/>
      <c r="O72" s="413"/>
      <c r="P72" s="414"/>
      <c r="Q72" s="6"/>
    </row>
    <row r="73" spans="2:17" ht="26.7" customHeight="1">
      <c r="B73" s="4"/>
      <c r="C73" s="385" t="s">
        <v>51</v>
      </c>
      <c r="D73" s="386"/>
      <c r="E73" s="386"/>
      <c r="F73" s="387"/>
      <c r="G73" s="412" t="s">
        <v>52</v>
      </c>
      <c r="H73" s="413"/>
      <c r="I73" s="413"/>
      <c r="J73" s="413"/>
      <c r="K73" s="413"/>
      <c r="L73" s="413"/>
      <c r="M73" s="413"/>
      <c r="N73" s="413"/>
      <c r="O73" s="413"/>
      <c r="P73" s="414"/>
      <c r="Q73" s="6"/>
    </row>
    <row r="74" spans="2:17" ht="28.2" customHeight="1">
      <c r="B74" s="4"/>
      <c r="C74" s="382" t="s">
        <v>53</v>
      </c>
      <c r="D74" s="383"/>
      <c r="E74" s="383"/>
      <c r="F74" s="384"/>
      <c r="G74" s="190" t="s">
        <v>54</v>
      </c>
      <c r="H74" s="190"/>
      <c r="I74" s="190"/>
      <c r="J74" s="190"/>
      <c r="K74" s="190"/>
      <c r="L74" s="190"/>
      <c r="M74" s="190"/>
      <c r="N74" s="190"/>
      <c r="O74" s="190"/>
      <c r="P74" s="190"/>
      <c r="Q74" s="6"/>
    </row>
    <row r="75" spans="2:17" ht="15.75" customHeight="1">
      <c r="B75" s="4"/>
      <c r="C75" s="379" t="s">
        <v>55</v>
      </c>
      <c r="D75" s="379"/>
      <c r="E75" s="379"/>
      <c r="F75" s="379"/>
      <c r="G75" s="379" t="s">
        <v>56</v>
      </c>
      <c r="H75" s="379"/>
      <c r="I75" s="379"/>
      <c r="J75" s="379"/>
      <c r="K75" s="379"/>
      <c r="L75" s="379"/>
      <c r="M75" s="379"/>
      <c r="N75" s="379"/>
      <c r="O75" s="379"/>
      <c r="P75" s="379"/>
      <c r="Q75" s="6"/>
    </row>
    <row r="76" spans="2:17" ht="28.5" customHeight="1">
      <c r="B76" s="4"/>
      <c r="C76" s="385" t="s">
        <v>57</v>
      </c>
      <c r="D76" s="386"/>
      <c r="E76" s="386"/>
      <c r="F76" s="387"/>
      <c r="G76" s="346" t="s">
        <v>58</v>
      </c>
      <c r="H76" s="346"/>
      <c r="I76" s="346"/>
      <c r="J76" s="346"/>
      <c r="K76" s="346"/>
      <c r="L76" s="346"/>
      <c r="M76" s="346"/>
      <c r="N76" s="346"/>
      <c r="O76" s="346"/>
      <c r="P76" s="346"/>
      <c r="Q76" s="6"/>
    </row>
    <row r="77" spans="2:17" ht="28.5" customHeight="1">
      <c r="B77" s="4"/>
      <c r="C77" s="379" t="s">
        <v>59</v>
      </c>
      <c r="D77" s="379"/>
      <c r="E77" s="379"/>
      <c r="F77" s="379"/>
      <c r="G77" s="346" t="s">
        <v>60</v>
      </c>
      <c r="H77" s="346"/>
      <c r="I77" s="346"/>
      <c r="J77" s="346"/>
      <c r="K77" s="346"/>
      <c r="L77" s="346"/>
      <c r="M77" s="346"/>
      <c r="N77" s="346"/>
      <c r="O77" s="346"/>
      <c r="P77" s="346"/>
      <c r="Q77" s="6"/>
    </row>
    <row r="78" spans="2:17" ht="16.5" customHeight="1">
      <c r="B78" s="4"/>
      <c r="C78" s="379" t="s">
        <v>61</v>
      </c>
      <c r="D78" s="379"/>
      <c r="E78" s="379"/>
      <c r="F78" s="379"/>
      <c r="G78" s="379" t="s">
        <v>62</v>
      </c>
      <c r="H78" s="379"/>
      <c r="I78" s="379"/>
      <c r="J78" s="379"/>
      <c r="K78" s="379"/>
      <c r="L78" s="379"/>
      <c r="M78" s="379"/>
      <c r="N78" s="379"/>
      <c r="O78" s="379"/>
      <c r="P78" s="379"/>
      <c r="Q78" s="6"/>
    </row>
    <row r="79" spans="2:17" ht="32.7" customHeight="1">
      <c r="B79" s="4"/>
      <c r="C79" s="385" t="s">
        <v>63</v>
      </c>
      <c r="D79" s="386"/>
      <c r="E79" s="386"/>
      <c r="F79" s="387"/>
      <c r="G79" s="346" t="s">
        <v>64</v>
      </c>
      <c r="H79" s="346"/>
      <c r="I79" s="346"/>
      <c r="J79" s="346"/>
      <c r="K79" s="346"/>
      <c r="L79" s="346"/>
      <c r="M79" s="346"/>
      <c r="N79" s="346"/>
      <c r="O79" s="346"/>
      <c r="P79" s="346"/>
      <c r="Q79" s="6"/>
    </row>
    <row r="80" spans="2:17" ht="39.6" customHeight="1">
      <c r="B80" s="4"/>
      <c r="C80" s="379" t="s">
        <v>65</v>
      </c>
      <c r="D80" s="379"/>
      <c r="E80" s="379"/>
      <c r="F80" s="379"/>
      <c r="G80" s="346" t="s">
        <v>66</v>
      </c>
      <c r="H80" s="346"/>
      <c r="I80" s="346"/>
      <c r="J80" s="346"/>
      <c r="K80" s="346"/>
      <c r="L80" s="346"/>
      <c r="M80" s="346"/>
      <c r="N80" s="346"/>
      <c r="O80" s="346"/>
      <c r="P80" s="346"/>
      <c r="Q80" s="6"/>
    </row>
    <row r="81" spans="2:17" ht="41.7" customHeight="1">
      <c r="B81" s="4"/>
      <c r="C81" s="379" t="s">
        <v>67</v>
      </c>
      <c r="D81" s="379"/>
      <c r="E81" s="379"/>
      <c r="F81" s="379"/>
      <c r="G81" s="346" t="s">
        <v>68</v>
      </c>
      <c r="H81" s="346"/>
      <c r="I81" s="346"/>
      <c r="J81" s="346"/>
      <c r="K81" s="346"/>
      <c r="L81" s="346"/>
      <c r="M81" s="346"/>
      <c r="N81" s="346"/>
      <c r="O81" s="346"/>
      <c r="P81" s="346"/>
      <c r="Q81" s="6"/>
    </row>
    <row r="82" spans="2:17" ht="17.1" customHeight="1">
      <c r="B82" s="4"/>
      <c r="C82" s="379" t="s">
        <v>69</v>
      </c>
      <c r="D82" s="379"/>
      <c r="E82" s="379"/>
      <c r="F82" s="379"/>
      <c r="G82" s="379" t="s">
        <v>70</v>
      </c>
      <c r="H82" s="379"/>
      <c r="I82" s="379"/>
      <c r="J82" s="379"/>
      <c r="K82" s="379"/>
      <c r="L82" s="379"/>
      <c r="M82" s="379"/>
      <c r="N82" s="379"/>
      <c r="O82" s="379"/>
      <c r="P82" s="379"/>
      <c r="Q82" s="6"/>
    </row>
    <row r="83" spans="2:17" ht="20.1" customHeight="1">
      <c r="B83" s="4"/>
      <c r="C83" s="379" t="s">
        <v>71</v>
      </c>
      <c r="D83" s="379"/>
      <c r="E83" s="379"/>
      <c r="F83" s="379"/>
      <c r="G83" s="346" t="s">
        <v>72</v>
      </c>
      <c r="H83" s="379"/>
      <c r="I83" s="379"/>
      <c r="J83" s="379"/>
      <c r="K83" s="379"/>
      <c r="L83" s="379"/>
      <c r="M83" s="379"/>
      <c r="N83" s="379"/>
      <c r="O83" s="379"/>
      <c r="P83" s="379"/>
      <c r="Q83" s="6"/>
    </row>
    <row r="84" spans="2:17" ht="28.5" customHeight="1">
      <c r="B84" s="4"/>
      <c r="C84" s="385" t="s">
        <v>73</v>
      </c>
      <c r="D84" s="386"/>
      <c r="E84" s="386"/>
      <c r="F84" s="387"/>
      <c r="G84" s="346" t="s">
        <v>74</v>
      </c>
      <c r="H84" s="346"/>
      <c r="I84" s="346"/>
      <c r="J84" s="346"/>
      <c r="K84" s="346"/>
      <c r="L84" s="346"/>
      <c r="M84" s="346"/>
      <c r="N84" s="346"/>
      <c r="O84" s="346"/>
      <c r="P84" s="346"/>
      <c r="Q84" s="6"/>
    </row>
    <row r="85" spans="2:17" ht="28.5" customHeight="1">
      <c r="B85" s="4"/>
      <c r="C85" s="382" t="s">
        <v>75</v>
      </c>
      <c r="D85" s="383"/>
      <c r="E85" s="383"/>
      <c r="F85" s="384"/>
      <c r="G85" s="190" t="s">
        <v>76</v>
      </c>
      <c r="H85" s="190"/>
      <c r="I85" s="190"/>
      <c r="J85" s="190"/>
      <c r="K85" s="190"/>
      <c r="L85" s="190"/>
      <c r="M85" s="190"/>
      <c r="N85" s="190"/>
      <c r="O85" s="190"/>
      <c r="P85" s="190"/>
      <c r="Q85" s="6"/>
    </row>
    <row r="86" spans="2:17" ht="28.5" customHeight="1">
      <c r="B86" s="4"/>
      <c r="C86" s="382" t="s">
        <v>77</v>
      </c>
      <c r="D86" s="383"/>
      <c r="E86" s="383"/>
      <c r="F86" s="384"/>
      <c r="G86" s="190" t="s">
        <v>78</v>
      </c>
      <c r="H86" s="190"/>
      <c r="I86" s="190"/>
      <c r="J86" s="190"/>
      <c r="K86" s="190"/>
      <c r="L86" s="190"/>
      <c r="M86" s="190"/>
      <c r="N86" s="190"/>
      <c r="O86" s="190"/>
      <c r="P86" s="190"/>
      <c r="Q86" s="6"/>
    </row>
    <row r="87" spans="2:17" ht="16.5" customHeight="1">
      <c r="B87" s="4"/>
      <c r="C87" s="382" t="s">
        <v>79</v>
      </c>
      <c r="D87" s="383"/>
      <c r="E87" s="383"/>
      <c r="F87" s="384"/>
      <c r="G87" s="394" t="s">
        <v>80</v>
      </c>
      <c r="H87" s="395"/>
      <c r="I87" s="395"/>
      <c r="J87" s="395"/>
      <c r="K87" s="395"/>
      <c r="L87" s="395"/>
      <c r="M87" s="395"/>
      <c r="N87" s="395"/>
      <c r="O87" s="395"/>
      <c r="P87" s="396"/>
      <c r="Q87" s="6"/>
    </row>
    <row r="88" spans="2:17" ht="15" customHeight="1">
      <c r="B88" s="4"/>
      <c r="C88" s="382" t="s">
        <v>81</v>
      </c>
      <c r="D88" s="383"/>
      <c r="E88" s="383"/>
      <c r="F88" s="384"/>
      <c r="G88" s="190" t="s">
        <v>82</v>
      </c>
      <c r="H88" s="190"/>
      <c r="I88" s="190"/>
      <c r="J88" s="190"/>
      <c r="K88" s="190"/>
      <c r="L88" s="190"/>
      <c r="M88" s="190"/>
      <c r="N88" s="190"/>
      <c r="O88" s="190"/>
      <c r="P88" s="190"/>
      <c r="Q88" s="6"/>
    </row>
    <row r="89" spans="2:17" ht="14.1" customHeight="1">
      <c r="B89" s="4"/>
      <c r="C89" s="380" t="s">
        <v>83</v>
      </c>
      <c r="D89" s="380"/>
      <c r="E89" s="380"/>
      <c r="F89" s="380"/>
      <c r="G89" s="190" t="s">
        <v>84</v>
      </c>
      <c r="H89" s="190"/>
      <c r="I89" s="190"/>
      <c r="J89" s="190"/>
      <c r="K89" s="190"/>
      <c r="L89" s="190"/>
      <c r="M89" s="190"/>
      <c r="N89" s="190"/>
      <c r="O89" s="190"/>
      <c r="P89" s="190"/>
      <c r="Q89" s="6"/>
    </row>
    <row r="90" spans="2:17" ht="15.6">
      <c r="B90" s="4"/>
      <c r="C90" s="49"/>
      <c r="D90" s="49"/>
      <c r="E90" s="49"/>
      <c r="F90" s="49"/>
      <c r="G90" s="49"/>
      <c r="H90" s="49"/>
      <c r="I90" s="49"/>
      <c r="J90" s="49"/>
      <c r="K90" s="49"/>
      <c r="L90" s="49"/>
      <c r="M90" s="49"/>
      <c r="N90" s="49"/>
      <c r="O90" s="49"/>
      <c r="P90" s="49"/>
      <c r="Q90" s="6"/>
    </row>
    <row r="91" spans="2:17" ht="36" customHeight="1">
      <c r="B91" s="4"/>
      <c r="C91" s="381" t="s">
        <v>85</v>
      </c>
      <c r="D91" s="381"/>
      <c r="E91" s="381"/>
      <c r="F91" s="381"/>
      <c r="G91" s="49"/>
      <c r="H91" s="49"/>
      <c r="I91" s="49"/>
      <c r="J91" s="49"/>
      <c r="K91" s="49"/>
      <c r="L91" s="49"/>
      <c r="M91" s="49"/>
      <c r="N91" s="49"/>
      <c r="O91" s="49"/>
      <c r="P91" s="49"/>
      <c r="Q91" s="6"/>
    </row>
    <row r="92" spans="2:17" ht="18.6" customHeight="1">
      <c r="B92" s="4"/>
      <c r="C92" s="138" t="s">
        <v>86</v>
      </c>
      <c r="D92" s="138"/>
      <c r="E92" s="138"/>
      <c r="F92" s="138"/>
      <c r="G92" s="138"/>
      <c r="H92" s="138"/>
      <c r="I92" s="138"/>
      <c r="J92" s="138"/>
      <c r="K92" s="49"/>
      <c r="L92" s="49"/>
      <c r="M92" s="49"/>
      <c r="N92" s="49"/>
      <c r="O92" s="49"/>
      <c r="P92" s="49"/>
      <c r="Q92" s="6"/>
    </row>
    <row r="93" spans="2:17" ht="12.6" customHeight="1">
      <c r="B93" s="4"/>
      <c r="C93" s="378" t="s">
        <v>87</v>
      </c>
      <c r="D93" s="378"/>
      <c r="E93" s="378"/>
      <c r="F93" s="378"/>
      <c r="G93" s="378"/>
      <c r="H93" s="378"/>
      <c r="I93" s="378"/>
      <c r="J93" s="378"/>
      <c r="K93" s="378"/>
      <c r="L93" s="378"/>
      <c r="M93" s="378"/>
      <c r="N93" s="378"/>
      <c r="O93" s="378"/>
      <c r="P93" s="378"/>
      <c r="Q93" s="6"/>
    </row>
    <row r="94" spans="2:17" ht="14.1" customHeight="1">
      <c r="B94" s="4"/>
      <c r="C94" s="378"/>
      <c r="D94" s="378"/>
      <c r="E94" s="378"/>
      <c r="F94" s="378"/>
      <c r="G94" s="378"/>
      <c r="H94" s="378"/>
      <c r="I94" s="378"/>
      <c r="J94" s="378"/>
      <c r="K94" s="378"/>
      <c r="L94" s="378"/>
      <c r="M94" s="378"/>
      <c r="N94" s="378"/>
      <c r="O94" s="378"/>
      <c r="P94" s="378"/>
      <c r="Q94" s="6"/>
    </row>
    <row r="95" spans="2:17" ht="57" customHeight="1">
      <c r="B95" s="4"/>
      <c r="C95" s="378"/>
      <c r="D95" s="378"/>
      <c r="E95" s="378"/>
      <c r="F95" s="378"/>
      <c r="G95" s="378"/>
      <c r="H95" s="378"/>
      <c r="I95" s="378"/>
      <c r="J95" s="378"/>
      <c r="K95" s="378"/>
      <c r="L95" s="378"/>
      <c r="M95" s="378"/>
      <c r="N95" s="378"/>
      <c r="O95" s="378"/>
      <c r="P95" s="378"/>
      <c r="Q95" s="6"/>
    </row>
    <row r="96" spans="2:17" ht="6" customHeight="1">
      <c r="B96" s="4"/>
      <c r="C96" s="139"/>
      <c r="D96" s="139"/>
      <c r="E96" s="139"/>
      <c r="F96" s="139"/>
      <c r="G96" s="139"/>
      <c r="H96" s="139"/>
      <c r="I96" s="139"/>
      <c r="J96" s="139"/>
      <c r="K96" s="139"/>
      <c r="L96" s="139"/>
      <c r="M96" s="139"/>
      <c r="N96" s="139"/>
      <c r="O96" s="139"/>
      <c r="P96" s="139"/>
      <c r="Q96" s="6"/>
    </row>
    <row r="97" spans="2:17" ht="60.6" customHeight="1">
      <c r="B97" s="4"/>
      <c r="C97" s="188" t="s">
        <v>88</v>
      </c>
      <c r="D97" s="188"/>
      <c r="E97" s="188"/>
      <c r="F97" s="188"/>
      <c r="G97" s="188" t="s">
        <v>89</v>
      </c>
      <c r="H97" s="188" t="s">
        <v>90</v>
      </c>
      <c r="I97" s="188" t="s">
        <v>91</v>
      </c>
      <c r="J97" s="188" t="s">
        <v>92</v>
      </c>
      <c r="K97" s="139"/>
      <c r="L97" s="139"/>
      <c r="M97" s="139"/>
      <c r="N97" s="139"/>
      <c r="O97" s="139"/>
      <c r="P97" s="139"/>
      <c r="Q97" s="6"/>
    </row>
    <row r="98" spans="2:27" ht="29.1" customHeight="1">
      <c r="B98" s="4"/>
      <c r="C98" s="373" t="s">
        <v>93</v>
      </c>
      <c r="D98" s="374" t="s">
        <v>93</v>
      </c>
      <c r="E98" s="374" t="s">
        <v>93</v>
      </c>
      <c r="F98" s="375" t="s">
        <v>93</v>
      </c>
      <c r="G98" s="189">
        <v>1.57</v>
      </c>
      <c r="H98" s="189">
        <v>1.57</v>
      </c>
      <c r="I98" s="189">
        <v>0.23</v>
      </c>
      <c r="J98" s="189">
        <v>25</v>
      </c>
      <c r="K98" s="139"/>
      <c r="L98" s="139"/>
      <c r="M98" s="139"/>
      <c r="N98" s="139"/>
      <c r="O98" s="139"/>
      <c r="P98" s="139"/>
      <c r="Q98" s="6"/>
      <c r="S98" s="13"/>
      <c r="T98" s="13"/>
      <c r="U98" s="13"/>
      <c r="V98" s="13"/>
      <c r="X98" s="13"/>
      <c r="Y98" s="13"/>
      <c r="Z98" s="13"/>
      <c r="AA98" s="13"/>
    </row>
    <row r="99" spans="2:27" ht="20.1" customHeight="1">
      <c r="B99" s="4"/>
      <c r="C99" s="370" t="s">
        <v>94</v>
      </c>
      <c r="D99" s="371" t="s">
        <v>94</v>
      </c>
      <c r="E99" s="371" t="s">
        <v>94</v>
      </c>
      <c r="F99" s="372" t="s">
        <v>94</v>
      </c>
      <c r="G99" s="190">
        <v>6</v>
      </c>
      <c r="H99" s="190">
        <v>6</v>
      </c>
      <c r="I99" s="190">
        <v>6</v>
      </c>
      <c r="J99" s="346">
        <v>25</v>
      </c>
      <c r="K99" s="139"/>
      <c r="L99" s="139"/>
      <c r="M99" s="139"/>
      <c r="N99" s="139"/>
      <c r="O99" s="139"/>
      <c r="P99" s="139"/>
      <c r="Q99" s="6"/>
      <c r="S99" s="13"/>
      <c r="T99" s="13"/>
      <c r="U99" s="13"/>
      <c r="V99" s="13"/>
      <c r="X99" s="13"/>
      <c r="Y99" s="13"/>
      <c r="Z99" s="13"/>
      <c r="AA99" s="13"/>
    </row>
    <row r="100" spans="2:27" ht="16.2" customHeight="1">
      <c r="B100" s="4"/>
      <c r="C100" s="370" t="s">
        <v>95</v>
      </c>
      <c r="D100" s="371" t="s">
        <v>95</v>
      </c>
      <c r="E100" s="371" t="s">
        <v>95</v>
      </c>
      <c r="F100" s="372" t="s">
        <v>95</v>
      </c>
      <c r="G100" s="190">
        <v>6</v>
      </c>
      <c r="H100" s="190">
        <v>6</v>
      </c>
      <c r="I100" s="190">
        <v>6</v>
      </c>
      <c r="J100" s="346">
        <v>25</v>
      </c>
      <c r="K100" s="139"/>
      <c r="L100" s="139"/>
      <c r="M100" s="139"/>
      <c r="N100" s="139"/>
      <c r="O100" s="139"/>
      <c r="P100" s="139"/>
      <c r="Q100" s="6"/>
      <c r="S100" s="13"/>
      <c r="T100" s="13"/>
      <c r="U100" s="13"/>
      <c r="V100" s="13"/>
      <c r="X100" s="13"/>
      <c r="Y100" s="13"/>
      <c r="Z100" s="13"/>
      <c r="AA100" s="13"/>
    </row>
    <row r="101" spans="2:27" ht="19.2" customHeight="1">
      <c r="B101" s="4"/>
      <c r="C101" s="373" t="s">
        <v>96</v>
      </c>
      <c r="D101" s="374" t="s">
        <v>96</v>
      </c>
      <c r="E101" s="374" t="s">
        <v>96</v>
      </c>
      <c r="F101" s="375" t="s">
        <v>96</v>
      </c>
      <c r="G101" s="189">
        <v>0.54</v>
      </c>
      <c r="H101" s="189">
        <v>0.54</v>
      </c>
      <c r="I101" s="189">
        <v>0.23</v>
      </c>
      <c r="J101" s="189">
        <v>9</v>
      </c>
      <c r="K101" s="139"/>
      <c r="L101" s="139"/>
      <c r="M101" s="139"/>
      <c r="N101" s="139"/>
      <c r="O101" s="139"/>
      <c r="P101" s="139"/>
      <c r="Q101" s="6"/>
      <c r="S101" s="13"/>
      <c r="T101" s="13"/>
      <c r="U101" s="13"/>
      <c r="V101" s="13"/>
      <c r="X101" s="13"/>
      <c r="Y101" s="13"/>
      <c r="Z101" s="13"/>
      <c r="AA101" s="13"/>
    </row>
    <row r="102" spans="2:27" ht="12.6" customHeight="1">
      <c r="B102" s="4"/>
      <c r="C102" s="370" t="s">
        <v>97</v>
      </c>
      <c r="D102" s="371" t="s">
        <v>97</v>
      </c>
      <c r="E102" s="371" t="s">
        <v>97</v>
      </c>
      <c r="F102" s="372" t="s">
        <v>97</v>
      </c>
      <c r="G102" s="190">
        <v>6</v>
      </c>
      <c r="H102" s="190">
        <v>6</v>
      </c>
      <c r="I102" s="190">
        <v>6</v>
      </c>
      <c r="J102" s="346">
        <v>25</v>
      </c>
      <c r="K102" s="139"/>
      <c r="L102" s="139"/>
      <c r="M102" s="139"/>
      <c r="N102" s="139"/>
      <c r="O102" s="139"/>
      <c r="P102" s="139"/>
      <c r="Q102" s="6"/>
      <c r="S102" s="13"/>
      <c r="T102" s="13"/>
      <c r="U102" s="13"/>
      <c r="V102" s="13"/>
      <c r="X102" s="13"/>
      <c r="Y102" s="13"/>
      <c r="Z102" s="13"/>
      <c r="AA102" s="13"/>
    </row>
    <row r="103" spans="2:27" ht="30" customHeight="1">
      <c r="B103" s="4"/>
      <c r="C103" s="370" t="s">
        <v>98</v>
      </c>
      <c r="D103" s="371" t="s">
        <v>98</v>
      </c>
      <c r="E103" s="371" t="s">
        <v>98</v>
      </c>
      <c r="F103" s="372" t="s">
        <v>98</v>
      </c>
      <c r="G103" s="190">
        <v>6</v>
      </c>
      <c r="H103" s="190">
        <v>6</v>
      </c>
      <c r="I103" s="190">
        <v>6</v>
      </c>
      <c r="J103" s="346">
        <v>25</v>
      </c>
      <c r="K103" s="139"/>
      <c r="L103" s="139"/>
      <c r="M103" s="139"/>
      <c r="N103" s="139"/>
      <c r="O103" s="139"/>
      <c r="P103" s="139"/>
      <c r="Q103" s="6"/>
      <c r="S103" s="13"/>
      <c r="T103" s="13"/>
      <c r="U103" s="13"/>
      <c r="V103" s="13"/>
      <c r="X103" s="13"/>
      <c r="Y103" s="13"/>
      <c r="Z103" s="13"/>
      <c r="AA103" s="13"/>
    </row>
    <row r="104" spans="2:27" ht="20.7" customHeight="1">
      <c r="B104" s="4"/>
      <c r="C104" s="370" t="s">
        <v>99</v>
      </c>
      <c r="D104" s="371" t="s">
        <v>99</v>
      </c>
      <c r="E104" s="371" t="s">
        <v>99</v>
      </c>
      <c r="F104" s="372" t="s">
        <v>99</v>
      </c>
      <c r="G104" s="190">
        <v>6</v>
      </c>
      <c r="H104" s="190">
        <v>6</v>
      </c>
      <c r="I104" s="190">
        <v>6</v>
      </c>
      <c r="J104" s="346">
        <v>25</v>
      </c>
      <c r="K104" s="139"/>
      <c r="L104" s="139"/>
      <c r="M104" s="139"/>
      <c r="N104" s="139"/>
      <c r="O104" s="139"/>
      <c r="P104" s="139"/>
      <c r="Q104" s="6"/>
      <c r="S104" s="13"/>
      <c r="T104" s="13"/>
      <c r="U104" s="13"/>
      <c r="V104" s="13"/>
      <c r="X104" s="13"/>
      <c r="Y104" s="13"/>
      <c r="Z104" s="13"/>
      <c r="AA104" s="13"/>
    </row>
    <row r="105" spans="2:27" ht="20.1" customHeight="1">
      <c r="B105" s="4"/>
      <c r="C105" s="373" t="s">
        <v>100</v>
      </c>
      <c r="D105" s="374" t="s">
        <v>100</v>
      </c>
      <c r="E105" s="374" t="s">
        <v>100</v>
      </c>
      <c r="F105" s="375" t="s">
        <v>100</v>
      </c>
      <c r="G105" s="189">
        <v>1.05</v>
      </c>
      <c r="H105" s="189">
        <v>1.05</v>
      </c>
      <c r="I105" s="189">
        <v>0.23</v>
      </c>
      <c r="J105" s="189">
        <v>9</v>
      </c>
      <c r="K105" s="139"/>
      <c r="L105" s="139"/>
      <c r="M105" s="139"/>
      <c r="N105" s="139"/>
      <c r="O105" s="139"/>
      <c r="P105" s="139"/>
      <c r="Q105" s="6"/>
      <c r="S105" s="13"/>
      <c r="T105" s="13"/>
      <c r="U105" s="13"/>
      <c r="V105" s="13"/>
      <c r="X105" s="13"/>
      <c r="Y105" s="13"/>
      <c r="Z105" s="13"/>
      <c r="AA105" s="13"/>
    </row>
    <row r="106" spans="2:27" ht="22.2" customHeight="1">
      <c r="B106" s="4"/>
      <c r="C106" s="370" t="s">
        <v>101</v>
      </c>
      <c r="D106" s="371" t="s">
        <v>101</v>
      </c>
      <c r="E106" s="371" t="s">
        <v>101</v>
      </c>
      <c r="F106" s="372" t="s">
        <v>101</v>
      </c>
      <c r="G106" s="190">
        <v>6</v>
      </c>
      <c r="H106" s="190">
        <v>6</v>
      </c>
      <c r="I106" s="190">
        <v>6</v>
      </c>
      <c r="J106" s="346">
        <v>25</v>
      </c>
      <c r="K106" s="139"/>
      <c r="L106" s="139"/>
      <c r="M106" s="139"/>
      <c r="N106" s="139"/>
      <c r="O106" s="139"/>
      <c r="P106" s="139"/>
      <c r="Q106" s="6"/>
      <c r="S106" s="13"/>
      <c r="T106" s="13"/>
      <c r="U106" s="13"/>
      <c r="V106" s="13"/>
      <c r="X106" s="13"/>
      <c r="Y106" s="13"/>
      <c r="Z106" s="13"/>
      <c r="AA106" s="13"/>
    </row>
    <row r="107" spans="2:27" ht="34.2" customHeight="1">
      <c r="B107" s="4"/>
      <c r="C107" s="370" t="s">
        <v>102</v>
      </c>
      <c r="D107" s="371" t="s">
        <v>102</v>
      </c>
      <c r="E107" s="371" t="s">
        <v>102</v>
      </c>
      <c r="F107" s="372" t="s">
        <v>102</v>
      </c>
      <c r="G107" s="190">
        <v>6</v>
      </c>
      <c r="H107" s="190">
        <v>6</v>
      </c>
      <c r="I107" s="190">
        <v>6</v>
      </c>
      <c r="J107" s="346">
        <v>25</v>
      </c>
      <c r="K107" s="139"/>
      <c r="L107" s="139"/>
      <c r="M107" s="139"/>
      <c r="N107" s="139"/>
      <c r="O107" s="139"/>
      <c r="P107" s="139"/>
      <c r="Q107" s="6"/>
      <c r="S107" s="13"/>
      <c r="T107" s="13"/>
      <c r="U107" s="13"/>
      <c r="V107" s="13"/>
      <c r="X107" s="13"/>
      <c r="Y107" s="13"/>
      <c r="Z107" s="13"/>
      <c r="AA107" s="13"/>
    </row>
    <row r="108" spans="2:27" ht="14.7" customHeight="1">
      <c r="B108" s="4"/>
      <c r="C108" s="370" t="s">
        <v>103</v>
      </c>
      <c r="D108" s="371" t="s">
        <v>103</v>
      </c>
      <c r="E108" s="371" t="s">
        <v>103</v>
      </c>
      <c r="F108" s="372" t="s">
        <v>103</v>
      </c>
      <c r="G108" s="190">
        <v>6</v>
      </c>
      <c r="H108" s="190">
        <v>6</v>
      </c>
      <c r="I108" s="190">
        <v>6</v>
      </c>
      <c r="J108" s="346">
        <v>25</v>
      </c>
      <c r="K108" s="139"/>
      <c r="L108" s="139"/>
      <c r="M108" s="139"/>
      <c r="N108" s="139"/>
      <c r="O108" s="139"/>
      <c r="P108" s="139"/>
      <c r="Q108" s="6"/>
      <c r="S108" s="13"/>
      <c r="T108" s="13"/>
      <c r="U108" s="13"/>
      <c r="V108" s="13"/>
      <c r="X108" s="13"/>
      <c r="Y108" s="13"/>
      <c r="Z108" s="13"/>
      <c r="AA108" s="13"/>
    </row>
    <row r="109" spans="2:27" ht="17.7" customHeight="1">
      <c r="B109" s="4"/>
      <c r="C109" s="373" t="s">
        <v>104</v>
      </c>
      <c r="D109" s="374" t="s">
        <v>104</v>
      </c>
      <c r="E109" s="374" t="s">
        <v>104</v>
      </c>
      <c r="F109" s="375" t="s">
        <v>104</v>
      </c>
      <c r="G109" s="189">
        <v>0.69</v>
      </c>
      <c r="H109" s="189">
        <v>0.69</v>
      </c>
      <c r="I109" s="189">
        <v>0.23</v>
      </c>
      <c r="J109" s="189">
        <v>9</v>
      </c>
      <c r="K109" s="139"/>
      <c r="L109" s="139"/>
      <c r="M109" s="139"/>
      <c r="N109" s="139"/>
      <c r="O109" s="139"/>
      <c r="P109" s="139"/>
      <c r="Q109" s="6"/>
      <c r="S109" s="13"/>
      <c r="T109" s="13"/>
      <c r="U109" s="13"/>
      <c r="V109" s="13"/>
      <c r="X109" s="13"/>
      <c r="Y109" s="13"/>
      <c r="Z109" s="13"/>
      <c r="AA109" s="13"/>
    </row>
    <row r="110" spans="2:27" ht="18.6" customHeight="1">
      <c r="B110" s="4"/>
      <c r="C110" s="370" t="s">
        <v>105</v>
      </c>
      <c r="D110" s="371" t="s">
        <v>105</v>
      </c>
      <c r="E110" s="371" t="s">
        <v>105</v>
      </c>
      <c r="F110" s="372" t="s">
        <v>105</v>
      </c>
      <c r="G110" s="190">
        <v>6</v>
      </c>
      <c r="H110" s="190">
        <v>6</v>
      </c>
      <c r="I110" s="190">
        <v>6</v>
      </c>
      <c r="J110" s="346">
        <v>25</v>
      </c>
      <c r="K110" s="139"/>
      <c r="L110" s="139"/>
      <c r="M110" s="139"/>
      <c r="N110" s="139"/>
      <c r="O110" s="139"/>
      <c r="P110" s="139"/>
      <c r="Q110" s="6"/>
      <c r="S110" s="13"/>
      <c r="T110" s="13"/>
      <c r="U110" s="13"/>
      <c r="V110" s="13"/>
      <c r="X110" s="13"/>
      <c r="Y110" s="13"/>
      <c r="Z110" s="13"/>
      <c r="AA110" s="13"/>
    </row>
    <row r="111" spans="2:27" ht="16.2" customHeight="1">
      <c r="B111" s="4"/>
      <c r="C111" s="373" t="s">
        <v>106</v>
      </c>
      <c r="D111" s="374" t="s">
        <v>106</v>
      </c>
      <c r="E111" s="374" t="s">
        <v>106</v>
      </c>
      <c r="F111" s="375" t="s">
        <v>106</v>
      </c>
      <c r="G111" s="189">
        <v>1.89</v>
      </c>
      <c r="H111" s="189">
        <v>1.89</v>
      </c>
      <c r="I111" s="366">
        <v>0.23</v>
      </c>
      <c r="J111" s="189">
        <v>9</v>
      </c>
      <c r="K111" s="139"/>
      <c r="L111" s="139"/>
      <c r="M111" s="139"/>
      <c r="N111" s="139"/>
      <c r="O111" s="139"/>
      <c r="P111" s="139"/>
      <c r="Q111" s="6"/>
      <c r="S111" s="13"/>
      <c r="T111" s="13"/>
      <c r="U111" s="13"/>
      <c r="V111" s="13"/>
      <c r="X111" s="13"/>
      <c r="Y111" s="13"/>
      <c r="Z111" s="13"/>
      <c r="AA111" s="13"/>
    </row>
    <row r="112" spans="2:27" ht="17.1" customHeight="1">
      <c r="B112" s="4"/>
      <c r="C112" s="370" t="s">
        <v>107</v>
      </c>
      <c r="D112" s="371" t="s">
        <v>107</v>
      </c>
      <c r="E112" s="371" t="s">
        <v>107</v>
      </c>
      <c r="F112" s="372" t="s">
        <v>107</v>
      </c>
      <c r="G112" s="190">
        <v>6</v>
      </c>
      <c r="H112" s="190">
        <v>6</v>
      </c>
      <c r="I112" s="190">
        <v>6</v>
      </c>
      <c r="J112" s="346">
        <v>25</v>
      </c>
      <c r="K112" s="139"/>
      <c r="L112" s="139"/>
      <c r="M112" s="139"/>
      <c r="N112" s="139"/>
      <c r="O112" s="139"/>
      <c r="P112" s="139"/>
      <c r="Q112" s="6"/>
      <c r="S112" s="13"/>
      <c r="T112" s="13"/>
      <c r="U112" s="13"/>
      <c r="V112" s="13"/>
      <c r="X112" s="13"/>
      <c r="Y112" s="13"/>
      <c r="Z112" s="13"/>
      <c r="AA112" s="13"/>
    </row>
    <row r="113" spans="2:27" ht="18.6" customHeight="1">
      <c r="B113" s="4"/>
      <c r="C113" s="370" t="s">
        <v>108</v>
      </c>
      <c r="D113" s="371" t="s">
        <v>108</v>
      </c>
      <c r="E113" s="371" t="s">
        <v>108</v>
      </c>
      <c r="F113" s="372" t="s">
        <v>108</v>
      </c>
      <c r="G113" s="190">
        <v>6</v>
      </c>
      <c r="H113" s="190">
        <v>6</v>
      </c>
      <c r="I113" s="190">
        <v>6</v>
      </c>
      <c r="J113" s="346">
        <v>25</v>
      </c>
      <c r="K113" s="139"/>
      <c r="L113" s="139"/>
      <c r="M113" s="139"/>
      <c r="N113" s="139"/>
      <c r="O113" s="139"/>
      <c r="P113" s="139"/>
      <c r="Q113" s="6"/>
      <c r="S113" s="13"/>
      <c r="T113" s="13"/>
      <c r="U113" s="13"/>
      <c r="V113" s="13"/>
      <c r="X113" s="13"/>
      <c r="Y113" s="13"/>
      <c r="Z113" s="13"/>
      <c r="AA113" s="13"/>
    </row>
    <row r="114" spans="2:27" ht="17.7" customHeight="1">
      <c r="B114" s="4"/>
      <c r="C114" s="373" t="s">
        <v>109</v>
      </c>
      <c r="D114" s="374" t="s">
        <v>109</v>
      </c>
      <c r="E114" s="374" t="s">
        <v>109</v>
      </c>
      <c r="F114" s="375" t="s">
        <v>109</v>
      </c>
      <c r="G114" s="189">
        <v>0.86</v>
      </c>
      <c r="H114" s="189">
        <v>0.86</v>
      </c>
      <c r="I114" s="189">
        <v>0.23</v>
      </c>
      <c r="J114" s="189">
        <v>25</v>
      </c>
      <c r="K114" s="139"/>
      <c r="L114" s="139"/>
      <c r="M114" s="139"/>
      <c r="N114" s="139"/>
      <c r="O114" s="139"/>
      <c r="P114" s="139"/>
      <c r="Q114" s="6"/>
      <c r="S114" s="13"/>
      <c r="T114" s="13"/>
      <c r="U114" s="13"/>
      <c r="V114" s="13"/>
      <c r="X114" s="13"/>
      <c r="Y114" s="13"/>
      <c r="Z114" s="13"/>
      <c r="AA114" s="13"/>
    </row>
    <row r="115" spans="2:27" ht="23.1" customHeight="1">
      <c r="B115" s="4"/>
      <c r="C115" s="370" t="s">
        <v>110</v>
      </c>
      <c r="D115" s="371" t="s">
        <v>110</v>
      </c>
      <c r="E115" s="371" t="s">
        <v>110</v>
      </c>
      <c r="F115" s="372" t="s">
        <v>110</v>
      </c>
      <c r="G115" s="190">
        <v>6</v>
      </c>
      <c r="H115" s="190">
        <v>6</v>
      </c>
      <c r="I115" s="190">
        <v>0.23</v>
      </c>
      <c r="J115" s="346">
        <v>25</v>
      </c>
      <c r="K115" s="139"/>
      <c r="L115" s="139"/>
      <c r="M115" s="139"/>
      <c r="N115" s="139"/>
      <c r="O115" s="139"/>
      <c r="P115" s="139"/>
      <c r="Q115" s="6"/>
      <c r="S115" s="13"/>
      <c r="T115" s="13"/>
      <c r="U115" s="13"/>
      <c r="V115" s="13"/>
      <c r="X115" s="13"/>
      <c r="Y115" s="13"/>
      <c r="Z115" s="13"/>
      <c r="AA115" s="13"/>
    </row>
    <row r="116" spans="2:27" ht="16.2" customHeight="1">
      <c r="B116" s="4"/>
      <c r="C116" s="370" t="s">
        <v>111</v>
      </c>
      <c r="D116" s="371" t="s">
        <v>111</v>
      </c>
      <c r="E116" s="371" t="s">
        <v>111</v>
      </c>
      <c r="F116" s="372" t="s">
        <v>111</v>
      </c>
      <c r="G116" s="190">
        <v>6</v>
      </c>
      <c r="H116" s="190">
        <v>6</v>
      </c>
      <c r="I116" s="190">
        <v>6</v>
      </c>
      <c r="J116" s="346">
        <v>25</v>
      </c>
      <c r="K116" s="139"/>
      <c r="L116" s="139"/>
      <c r="M116" s="139"/>
      <c r="N116" s="139"/>
      <c r="O116" s="139"/>
      <c r="P116" s="139"/>
      <c r="Q116" s="6"/>
      <c r="S116" s="13"/>
      <c r="T116" s="13"/>
      <c r="U116" s="13"/>
      <c r="V116" s="13"/>
      <c r="X116" s="13"/>
      <c r="Y116" s="13"/>
      <c r="Z116" s="13"/>
      <c r="AA116" s="13"/>
    </row>
    <row r="117" spans="2:27" ht="15.6" customHeight="1">
      <c r="B117" s="4"/>
      <c r="C117" s="370" t="s">
        <v>112</v>
      </c>
      <c r="D117" s="371" t="s">
        <v>112</v>
      </c>
      <c r="E117" s="371" t="s">
        <v>112</v>
      </c>
      <c r="F117" s="372" t="s">
        <v>112</v>
      </c>
      <c r="G117" s="190">
        <v>6</v>
      </c>
      <c r="H117" s="190">
        <v>6</v>
      </c>
      <c r="I117" s="190">
        <v>6</v>
      </c>
      <c r="J117" s="346">
        <v>25</v>
      </c>
      <c r="K117" s="139"/>
      <c r="L117" s="139"/>
      <c r="M117" s="139"/>
      <c r="N117" s="139"/>
      <c r="O117" s="139"/>
      <c r="P117" s="139"/>
      <c r="Q117" s="6"/>
      <c r="S117" s="13"/>
      <c r="T117" s="13"/>
      <c r="U117" s="13"/>
      <c r="V117" s="13"/>
      <c r="X117" s="13"/>
      <c r="Y117" s="13"/>
      <c r="Z117" s="13"/>
      <c r="AA117" s="13"/>
    </row>
    <row r="118" spans="2:27" ht="14.7" customHeight="1">
      <c r="B118" s="4"/>
      <c r="C118" s="373" t="s">
        <v>113</v>
      </c>
      <c r="D118" s="374" t="s">
        <v>113</v>
      </c>
      <c r="E118" s="374" t="s">
        <v>113</v>
      </c>
      <c r="F118" s="375" t="s">
        <v>113</v>
      </c>
      <c r="G118" s="189">
        <v>0.76</v>
      </c>
      <c r="H118" s="189">
        <v>0.23</v>
      </c>
      <c r="I118" s="189">
        <v>0.23</v>
      </c>
      <c r="J118" s="189">
        <v>9</v>
      </c>
      <c r="K118" s="139"/>
      <c r="L118" s="139"/>
      <c r="M118" s="139"/>
      <c r="N118" s="139"/>
      <c r="O118" s="139"/>
      <c r="P118" s="139"/>
      <c r="Q118" s="6"/>
      <c r="S118" s="13"/>
      <c r="T118" s="13"/>
      <c r="U118" s="13"/>
      <c r="V118" s="13"/>
      <c r="X118" s="13"/>
      <c r="Y118" s="13"/>
      <c r="Z118" s="13"/>
      <c r="AA118" s="13"/>
    </row>
    <row r="119" spans="2:27" ht="18.6" customHeight="1">
      <c r="B119" s="4"/>
      <c r="C119" s="370" t="s">
        <v>114</v>
      </c>
      <c r="D119" s="371" t="s">
        <v>114</v>
      </c>
      <c r="E119" s="371" t="s">
        <v>114</v>
      </c>
      <c r="F119" s="372" t="s">
        <v>114</v>
      </c>
      <c r="G119" s="190">
        <v>6</v>
      </c>
      <c r="H119" s="190">
        <v>6</v>
      </c>
      <c r="I119" s="190">
        <v>6</v>
      </c>
      <c r="J119" s="346">
        <v>25</v>
      </c>
      <c r="K119" s="139"/>
      <c r="L119" s="139"/>
      <c r="M119" s="139"/>
      <c r="N119" s="139"/>
      <c r="O119" s="139"/>
      <c r="P119" s="139"/>
      <c r="Q119" s="6"/>
      <c r="S119" s="13"/>
      <c r="T119" s="13"/>
      <c r="U119" s="13"/>
      <c r="V119" s="13"/>
      <c r="X119" s="13"/>
      <c r="Y119" s="13"/>
      <c r="Z119" s="13"/>
      <c r="AA119" s="13"/>
    </row>
    <row r="120" spans="2:27" ht="27" customHeight="1">
      <c r="B120" s="4"/>
      <c r="C120" s="370" t="s">
        <v>115</v>
      </c>
      <c r="D120" s="371" t="s">
        <v>115</v>
      </c>
      <c r="E120" s="371" t="s">
        <v>115</v>
      </c>
      <c r="F120" s="372" t="s">
        <v>115</v>
      </c>
      <c r="G120" s="190">
        <v>6</v>
      </c>
      <c r="H120" s="190">
        <v>6</v>
      </c>
      <c r="I120" s="190">
        <v>6</v>
      </c>
      <c r="J120" s="346">
        <v>25</v>
      </c>
      <c r="K120" s="139"/>
      <c r="L120" s="139"/>
      <c r="M120" s="139"/>
      <c r="N120" s="139"/>
      <c r="O120" s="139"/>
      <c r="P120" s="139"/>
      <c r="Q120" s="6"/>
      <c r="S120" s="13"/>
      <c r="T120" s="13"/>
      <c r="U120" s="13"/>
      <c r="V120" s="13"/>
      <c r="X120" s="13"/>
      <c r="Y120" s="13"/>
      <c r="Z120" s="13"/>
      <c r="AA120" s="13"/>
    </row>
    <row r="121" spans="2:27" ht="15.6" customHeight="1">
      <c r="B121" s="4"/>
      <c r="C121" s="370" t="s">
        <v>116</v>
      </c>
      <c r="D121" s="371" t="s">
        <v>116</v>
      </c>
      <c r="E121" s="371" t="s">
        <v>116</v>
      </c>
      <c r="F121" s="372" t="s">
        <v>116</v>
      </c>
      <c r="G121" s="190">
        <v>6</v>
      </c>
      <c r="H121" s="190">
        <v>6</v>
      </c>
      <c r="I121" s="190">
        <v>6</v>
      </c>
      <c r="J121" s="346">
        <v>25</v>
      </c>
      <c r="K121" s="139"/>
      <c r="L121" s="139"/>
      <c r="M121" s="139"/>
      <c r="N121" s="139"/>
      <c r="O121" s="139"/>
      <c r="P121" s="139"/>
      <c r="Q121" s="6"/>
      <c r="S121" s="13"/>
      <c r="T121" s="13"/>
      <c r="U121" s="13"/>
      <c r="V121" s="13"/>
      <c r="X121" s="13"/>
      <c r="Y121" s="13"/>
      <c r="Z121" s="13"/>
      <c r="AA121" s="13"/>
    </row>
    <row r="122" spans="2:27" ht="18.6" customHeight="1">
      <c r="B122" s="4"/>
      <c r="C122" s="373" t="s">
        <v>117</v>
      </c>
      <c r="D122" s="374" t="s">
        <v>117</v>
      </c>
      <c r="E122" s="374" t="s">
        <v>117</v>
      </c>
      <c r="F122" s="375" t="s">
        <v>117</v>
      </c>
      <c r="G122" s="189">
        <v>0.9</v>
      </c>
      <c r="H122" s="189">
        <v>0.9</v>
      </c>
      <c r="I122" s="189">
        <v>0.23</v>
      </c>
      <c r="J122" s="189">
        <v>9</v>
      </c>
      <c r="K122" s="139"/>
      <c r="L122" s="139"/>
      <c r="M122" s="139"/>
      <c r="N122" s="139"/>
      <c r="O122" s="139"/>
      <c r="P122" s="139"/>
      <c r="Q122" s="6"/>
      <c r="S122" s="13"/>
      <c r="T122" s="13"/>
      <c r="U122" s="13"/>
      <c r="V122" s="13"/>
      <c r="X122" s="13"/>
      <c r="Y122" s="13"/>
      <c r="Z122" s="13"/>
      <c r="AA122" s="13"/>
    </row>
    <row r="123" spans="2:27" ht="30.6" customHeight="1">
      <c r="B123" s="4"/>
      <c r="C123" s="370" t="s">
        <v>118</v>
      </c>
      <c r="D123" s="371" t="s">
        <v>118</v>
      </c>
      <c r="E123" s="371" t="s">
        <v>118</v>
      </c>
      <c r="F123" s="372" t="s">
        <v>118</v>
      </c>
      <c r="G123" s="190">
        <v>6</v>
      </c>
      <c r="H123" s="190">
        <v>6</v>
      </c>
      <c r="I123" s="190">
        <v>6</v>
      </c>
      <c r="J123" s="346">
        <v>25</v>
      </c>
      <c r="K123" s="139"/>
      <c r="L123" s="139"/>
      <c r="M123" s="139"/>
      <c r="N123" s="139"/>
      <c r="O123" s="139"/>
      <c r="P123" s="139"/>
      <c r="Q123" s="6"/>
      <c r="S123" s="13"/>
      <c r="T123" s="13"/>
      <c r="U123" s="13"/>
      <c r="V123" s="13"/>
      <c r="X123" s="13"/>
      <c r="Y123" s="13"/>
      <c r="Z123" s="13"/>
      <c r="AA123" s="13"/>
    </row>
    <row r="124" spans="2:27" ht="16.2" customHeight="1">
      <c r="B124" s="4"/>
      <c r="C124" s="370" t="s">
        <v>119</v>
      </c>
      <c r="D124" s="371" t="s">
        <v>119</v>
      </c>
      <c r="E124" s="371" t="s">
        <v>119</v>
      </c>
      <c r="F124" s="372" t="s">
        <v>119</v>
      </c>
      <c r="G124" s="190">
        <v>6</v>
      </c>
      <c r="H124" s="190">
        <v>6</v>
      </c>
      <c r="I124" s="189">
        <v>0.23</v>
      </c>
      <c r="J124" s="189">
        <v>9</v>
      </c>
      <c r="K124" s="139"/>
      <c r="L124" s="139"/>
      <c r="M124" s="139"/>
      <c r="N124" s="139"/>
      <c r="O124" s="139"/>
      <c r="P124" s="139"/>
      <c r="Q124" s="6"/>
      <c r="S124" s="13"/>
      <c r="T124" s="13"/>
      <c r="U124" s="13"/>
      <c r="V124" s="13"/>
      <c r="X124" s="13"/>
      <c r="Y124" s="13"/>
      <c r="Z124" s="13"/>
      <c r="AA124" s="13"/>
    </row>
    <row r="125" spans="2:27" ht="17.1" customHeight="1">
      <c r="B125" s="4"/>
      <c r="C125" s="370" t="s">
        <v>120</v>
      </c>
      <c r="D125" s="371" t="s">
        <v>120</v>
      </c>
      <c r="E125" s="371" t="s">
        <v>120</v>
      </c>
      <c r="F125" s="372" t="s">
        <v>120</v>
      </c>
      <c r="G125" s="190">
        <v>6</v>
      </c>
      <c r="H125" s="190">
        <v>6</v>
      </c>
      <c r="I125" s="190">
        <v>6</v>
      </c>
      <c r="J125" s="346">
        <v>25</v>
      </c>
      <c r="K125" s="139"/>
      <c r="L125" s="139"/>
      <c r="M125" s="139"/>
      <c r="N125" s="139"/>
      <c r="O125" s="139"/>
      <c r="P125" s="139"/>
      <c r="Q125" s="6"/>
      <c r="S125" s="13"/>
      <c r="T125" s="13"/>
      <c r="U125" s="13"/>
      <c r="V125" s="13"/>
      <c r="X125" s="13"/>
      <c r="Y125" s="13"/>
      <c r="Z125" s="13"/>
      <c r="AA125" s="13"/>
    </row>
    <row r="126" spans="2:27" ht="14.7" customHeight="1">
      <c r="B126" s="4"/>
      <c r="C126" s="373" t="s">
        <v>121</v>
      </c>
      <c r="D126" s="374" t="s">
        <v>121</v>
      </c>
      <c r="E126" s="374" t="s">
        <v>121</v>
      </c>
      <c r="F126" s="375" t="s">
        <v>121</v>
      </c>
      <c r="G126" s="189">
        <v>0.89</v>
      </c>
      <c r="H126" s="189">
        <v>0.89</v>
      </c>
      <c r="I126" s="189">
        <v>0.89</v>
      </c>
      <c r="J126" s="189">
        <v>25</v>
      </c>
      <c r="K126" s="139"/>
      <c r="L126" s="139"/>
      <c r="M126" s="139"/>
      <c r="N126" s="139"/>
      <c r="O126" s="139"/>
      <c r="P126" s="139"/>
      <c r="Q126" s="6"/>
      <c r="S126" s="13"/>
      <c r="T126" s="13"/>
      <c r="U126" s="13"/>
      <c r="V126" s="13"/>
      <c r="X126" s="13"/>
      <c r="Y126" s="13"/>
      <c r="Z126" s="13"/>
      <c r="AA126" s="13"/>
    </row>
    <row r="127" spans="2:27" ht="20.1" customHeight="1">
      <c r="B127" s="4"/>
      <c r="C127" s="370" t="s">
        <v>122</v>
      </c>
      <c r="D127" s="371" t="s">
        <v>122</v>
      </c>
      <c r="E127" s="371" t="s">
        <v>122</v>
      </c>
      <c r="F127" s="372" t="s">
        <v>122</v>
      </c>
      <c r="G127" s="190">
        <v>6</v>
      </c>
      <c r="H127" s="190">
        <v>6</v>
      </c>
      <c r="I127" s="190">
        <v>6</v>
      </c>
      <c r="J127" s="346">
        <v>25</v>
      </c>
      <c r="K127" s="139"/>
      <c r="L127" s="139"/>
      <c r="M127" s="139"/>
      <c r="N127" s="139"/>
      <c r="O127" s="139"/>
      <c r="P127" s="139"/>
      <c r="Q127" s="6"/>
      <c r="S127" s="13"/>
      <c r="T127" s="13"/>
      <c r="U127" s="13"/>
      <c r="V127" s="13"/>
      <c r="X127" s="13"/>
      <c r="Y127" s="13"/>
      <c r="Z127" s="13"/>
      <c r="AA127" s="13"/>
    </row>
    <row r="128" spans="2:27" ht="17.7" customHeight="1">
      <c r="B128" s="4"/>
      <c r="C128" s="370" t="s">
        <v>123</v>
      </c>
      <c r="D128" s="371" t="s">
        <v>123</v>
      </c>
      <c r="E128" s="371" t="s">
        <v>123</v>
      </c>
      <c r="F128" s="372" t="s">
        <v>123</v>
      </c>
      <c r="G128" s="190">
        <v>6</v>
      </c>
      <c r="H128" s="190">
        <v>6</v>
      </c>
      <c r="I128" s="190">
        <v>6</v>
      </c>
      <c r="J128" s="346">
        <v>25</v>
      </c>
      <c r="K128" s="139"/>
      <c r="L128" s="139"/>
      <c r="M128" s="139"/>
      <c r="N128" s="139"/>
      <c r="O128" s="139"/>
      <c r="P128" s="139"/>
      <c r="Q128" s="6"/>
      <c r="S128" s="13"/>
      <c r="T128" s="13"/>
      <c r="U128" s="13"/>
      <c r="V128" s="13"/>
      <c r="X128" s="13"/>
      <c r="Y128" s="13"/>
      <c r="Z128" s="13"/>
      <c r="AA128" s="13"/>
    </row>
    <row r="129" spans="2:27" ht="20.7" customHeight="1">
      <c r="B129" s="4"/>
      <c r="C129" s="370" t="s">
        <v>124</v>
      </c>
      <c r="D129" s="371" t="s">
        <v>124</v>
      </c>
      <c r="E129" s="371" t="s">
        <v>124</v>
      </c>
      <c r="F129" s="372" t="s">
        <v>124</v>
      </c>
      <c r="G129" s="190">
        <v>6</v>
      </c>
      <c r="H129" s="190">
        <v>6</v>
      </c>
      <c r="I129" s="190">
        <v>6</v>
      </c>
      <c r="J129" s="346">
        <v>25</v>
      </c>
      <c r="K129" s="139"/>
      <c r="L129" s="139"/>
      <c r="M129" s="139"/>
      <c r="N129" s="139"/>
      <c r="O129" s="139"/>
      <c r="P129" s="139"/>
      <c r="Q129" s="6"/>
      <c r="S129" s="13"/>
      <c r="T129" s="13"/>
      <c r="U129" s="13"/>
      <c r="V129" s="13"/>
      <c r="X129" s="13"/>
      <c r="Y129" s="13"/>
      <c r="Z129" s="13"/>
      <c r="AA129" s="13"/>
    </row>
    <row r="130" spans="2:27" ht="20.1" customHeight="1">
      <c r="B130" s="4"/>
      <c r="C130" s="370" t="s">
        <v>125</v>
      </c>
      <c r="D130" s="371" t="s">
        <v>125</v>
      </c>
      <c r="E130" s="371" t="s">
        <v>125</v>
      </c>
      <c r="F130" s="372" t="s">
        <v>125</v>
      </c>
      <c r="G130" s="190">
        <v>6</v>
      </c>
      <c r="H130" s="190">
        <v>6</v>
      </c>
      <c r="I130" s="190">
        <v>6</v>
      </c>
      <c r="J130" s="346">
        <v>25</v>
      </c>
      <c r="K130" s="139"/>
      <c r="L130" s="139"/>
      <c r="M130" s="139"/>
      <c r="N130" s="139"/>
      <c r="O130" s="139"/>
      <c r="P130" s="139"/>
      <c r="Q130" s="6"/>
      <c r="S130" s="13"/>
      <c r="T130" s="13"/>
      <c r="U130" s="13"/>
      <c r="V130" s="13"/>
      <c r="X130" s="13"/>
      <c r="Y130" s="13"/>
      <c r="Z130" s="13"/>
      <c r="AA130" s="13"/>
    </row>
    <row r="131" spans="2:27" ht="15.6" customHeight="1">
      <c r="B131" s="4"/>
      <c r="C131" s="370" t="s">
        <v>126</v>
      </c>
      <c r="D131" s="371" t="s">
        <v>126</v>
      </c>
      <c r="E131" s="371" t="s">
        <v>126</v>
      </c>
      <c r="F131" s="372" t="s">
        <v>126</v>
      </c>
      <c r="G131" s="190">
        <v>6</v>
      </c>
      <c r="H131" s="190">
        <v>6</v>
      </c>
      <c r="I131" s="190">
        <v>6</v>
      </c>
      <c r="J131" s="346">
        <v>25</v>
      </c>
      <c r="K131" s="139"/>
      <c r="L131" s="139"/>
      <c r="M131" s="139"/>
      <c r="N131" s="139"/>
      <c r="O131" s="139"/>
      <c r="P131" s="139"/>
      <c r="Q131" s="6"/>
      <c r="S131" s="13"/>
      <c r="T131" s="13"/>
      <c r="U131" s="13"/>
      <c r="V131" s="13"/>
      <c r="X131" s="13"/>
      <c r="Y131" s="13"/>
      <c r="Z131" s="13"/>
      <c r="AA131" s="13"/>
    </row>
    <row r="132" spans="2:27" ht="16.2" customHeight="1">
      <c r="B132" s="4"/>
      <c r="C132" s="370" t="s">
        <v>127</v>
      </c>
      <c r="D132" s="371" t="s">
        <v>127</v>
      </c>
      <c r="E132" s="371" t="s">
        <v>127</v>
      </c>
      <c r="F132" s="372" t="s">
        <v>127</v>
      </c>
      <c r="G132" s="190">
        <v>6</v>
      </c>
      <c r="H132" s="190">
        <v>6</v>
      </c>
      <c r="I132" s="190">
        <v>6</v>
      </c>
      <c r="J132" s="346">
        <v>25</v>
      </c>
      <c r="K132" s="139"/>
      <c r="L132" s="139"/>
      <c r="M132" s="139"/>
      <c r="N132" s="139"/>
      <c r="O132" s="139"/>
      <c r="P132" s="139"/>
      <c r="Q132" s="6"/>
      <c r="S132" s="13"/>
      <c r="T132" s="13"/>
      <c r="U132" s="13"/>
      <c r="V132" s="13"/>
      <c r="X132" s="13"/>
      <c r="Y132" s="13"/>
      <c r="Z132" s="13"/>
      <c r="AA132" s="13"/>
    </row>
    <row r="133" spans="2:27" ht="19.2" customHeight="1">
      <c r="B133" s="4"/>
      <c r="C133" s="370" t="s">
        <v>128</v>
      </c>
      <c r="D133" s="371" t="s">
        <v>128</v>
      </c>
      <c r="E133" s="371" t="s">
        <v>128</v>
      </c>
      <c r="F133" s="372" t="s">
        <v>128</v>
      </c>
      <c r="G133" s="190">
        <v>6</v>
      </c>
      <c r="H133" s="190">
        <v>6</v>
      </c>
      <c r="I133" s="190">
        <v>0.23</v>
      </c>
      <c r="J133" s="346">
        <v>25</v>
      </c>
      <c r="K133" s="139"/>
      <c r="L133" s="139"/>
      <c r="M133" s="139"/>
      <c r="N133" s="139"/>
      <c r="O133" s="139"/>
      <c r="P133" s="139"/>
      <c r="Q133" s="6"/>
      <c r="S133" s="13"/>
      <c r="T133" s="13"/>
      <c r="U133" s="13"/>
      <c r="V133" s="13"/>
      <c r="X133" s="13"/>
      <c r="Y133" s="13"/>
      <c r="Z133" s="13"/>
      <c r="AA133" s="13"/>
    </row>
    <row r="134" spans="2:27" ht="18.6" customHeight="1">
      <c r="B134" s="4"/>
      <c r="C134" s="370" t="s">
        <v>129</v>
      </c>
      <c r="D134" s="371" t="s">
        <v>129</v>
      </c>
      <c r="E134" s="371" t="s">
        <v>129</v>
      </c>
      <c r="F134" s="372" t="s">
        <v>129</v>
      </c>
      <c r="G134" s="190">
        <v>6</v>
      </c>
      <c r="H134" s="190">
        <v>6</v>
      </c>
      <c r="I134" s="190">
        <v>6</v>
      </c>
      <c r="J134" s="346">
        <v>25</v>
      </c>
      <c r="K134" s="139"/>
      <c r="L134" s="139"/>
      <c r="M134" s="139"/>
      <c r="N134" s="139"/>
      <c r="O134" s="139"/>
      <c r="P134" s="139"/>
      <c r="Q134" s="6"/>
      <c r="S134" s="13"/>
      <c r="T134" s="13"/>
      <c r="U134" s="13"/>
      <c r="V134" s="13"/>
      <c r="X134" s="13"/>
      <c r="Y134" s="13"/>
      <c r="Z134" s="13"/>
      <c r="AA134" s="13"/>
    </row>
    <row r="135" spans="2:27" ht="30.75" customHeight="1">
      <c r="B135" s="4"/>
      <c r="C135" s="370" t="s">
        <v>130</v>
      </c>
      <c r="D135" s="371" t="s">
        <v>130</v>
      </c>
      <c r="E135" s="371" t="s">
        <v>130</v>
      </c>
      <c r="F135" s="372" t="s">
        <v>130</v>
      </c>
      <c r="G135" s="190">
        <v>6</v>
      </c>
      <c r="H135" s="190">
        <v>6</v>
      </c>
      <c r="I135" s="189">
        <v>0.23</v>
      </c>
      <c r="J135" s="189">
        <v>9</v>
      </c>
      <c r="K135" s="139"/>
      <c r="L135" s="139"/>
      <c r="M135" s="139"/>
      <c r="N135" s="139"/>
      <c r="O135" s="139"/>
      <c r="P135" s="139"/>
      <c r="Q135" s="6"/>
      <c r="S135" s="13"/>
      <c r="T135" s="13"/>
      <c r="U135" s="13"/>
      <c r="V135" s="13"/>
      <c r="X135" s="13"/>
      <c r="Y135" s="13"/>
      <c r="Z135" s="13"/>
      <c r="AA135" s="13"/>
    </row>
    <row r="136" spans="2:27" ht="19.2" customHeight="1">
      <c r="B136" s="4"/>
      <c r="C136" s="370" t="s">
        <v>131</v>
      </c>
      <c r="D136" s="371" t="s">
        <v>131</v>
      </c>
      <c r="E136" s="371" t="s">
        <v>131</v>
      </c>
      <c r="F136" s="372" t="s">
        <v>131</v>
      </c>
      <c r="G136" s="190">
        <v>6</v>
      </c>
      <c r="H136" s="190">
        <v>6</v>
      </c>
      <c r="I136" s="190">
        <v>6</v>
      </c>
      <c r="J136" s="346">
        <v>25</v>
      </c>
      <c r="K136" s="139"/>
      <c r="L136" s="139"/>
      <c r="M136" s="139"/>
      <c r="N136" s="139"/>
      <c r="O136" s="139"/>
      <c r="P136" s="139"/>
      <c r="Q136" s="6"/>
      <c r="S136" s="13"/>
      <c r="T136" s="13"/>
      <c r="U136" s="13"/>
      <c r="V136" s="13"/>
      <c r="X136" s="13"/>
      <c r="Y136" s="13"/>
      <c r="Z136" s="13"/>
      <c r="AA136" s="13"/>
    </row>
    <row r="137" spans="2:27" ht="17.1" customHeight="1">
      <c r="B137" s="4"/>
      <c r="C137" s="370" t="s">
        <v>132</v>
      </c>
      <c r="D137" s="371" t="s">
        <v>132</v>
      </c>
      <c r="E137" s="371" t="s">
        <v>132</v>
      </c>
      <c r="F137" s="372" t="s">
        <v>132</v>
      </c>
      <c r="G137" s="190">
        <v>6</v>
      </c>
      <c r="H137" s="190">
        <v>6</v>
      </c>
      <c r="I137" s="190">
        <v>6</v>
      </c>
      <c r="J137" s="346">
        <v>25</v>
      </c>
      <c r="K137" s="139"/>
      <c r="L137" s="139"/>
      <c r="M137" s="139"/>
      <c r="N137" s="139"/>
      <c r="O137" s="139"/>
      <c r="P137" s="139"/>
      <c r="Q137" s="6"/>
      <c r="S137" s="13"/>
      <c r="T137" s="13"/>
      <c r="U137" s="13"/>
      <c r="V137" s="13"/>
      <c r="X137" s="13"/>
      <c r="Y137" s="13"/>
      <c r="Z137" s="13"/>
      <c r="AA137" s="13"/>
    </row>
    <row r="138" spans="2:27" ht="17.7" customHeight="1">
      <c r="B138" s="4"/>
      <c r="C138" s="370" t="s">
        <v>133</v>
      </c>
      <c r="D138" s="371" t="s">
        <v>133</v>
      </c>
      <c r="E138" s="371" t="s">
        <v>133</v>
      </c>
      <c r="F138" s="372" t="s">
        <v>133</v>
      </c>
      <c r="G138" s="190">
        <v>6</v>
      </c>
      <c r="H138" s="190">
        <v>6</v>
      </c>
      <c r="I138" s="190">
        <v>0.23</v>
      </c>
      <c r="J138" s="346">
        <v>25</v>
      </c>
      <c r="K138" s="139"/>
      <c r="L138" s="139"/>
      <c r="M138" s="139"/>
      <c r="N138" s="139"/>
      <c r="O138" s="139"/>
      <c r="P138" s="139"/>
      <c r="Q138" s="6"/>
      <c r="S138" s="13"/>
      <c r="T138" s="13"/>
      <c r="U138" s="13"/>
      <c r="V138" s="13"/>
      <c r="X138" s="13"/>
      <c r="Y138" s="13"/>
      <c r="Z138" s="13"/>
      <c r="AA138" s="13"/>
    </row>
    <row r="139" spans="2:27" ht="17.1" customHeight="1">
      <c r="B139" s="4"/>
      <c r="C139" s="370" t="s">
        <v>134</v>
      </c>
      <c r="D139" s="371" t="s">
        <v>134</v>
      </c>
      <c r="E139" s="371" t="s">
        <v>134</v>
      </c>
      <c r="F139" s="372" t="s">
        <v>134</v>
      </c>
      <c r="G139" s="190">
        <v>6</v>
      </c>
      <c r="H139" s="190">
        <v>6</v>
      </c>
      <c r="I139" s="190">
        <v>6</v>
      </c>
      <c r="J139" s="346">
        <v>25</v>
      </c>
      <c r="K139" s="139"/>
      <c r="L139" s="139"/>
      <c r="M139" s="139"/>
      <c r="N139" s="139"/>
      <c r="O139" s="139"/>
      <c r="P139" s="139"/>
      <c r="Q139" s="6"/>
      <c r="S139" s="13"/>
      <c r="T139" s="13"/>
      <c r="U139" s="13"/>
      <c r="V139" s="13"/>
      <c r="X139" s="13"/>
      <c r="Y139" s="13"/>
      <c r="Z139" s="13"/>
      <c r="AA139" s="13"/>
    </row>
    <row r="140" spans="2:27" ht="17.1" customHeight="1">
      <c r="B140" s="4"/>
      <c r="C140" s="370" t="s">
        <v>135</v>
      </c>
      <c r="D140" s="371" t="s">
        <v>135</v>
      </c>
      <c r="E140" s="371" t="s">
        <v>135</v>
      </c>
      <c r="F140" s="372" t="s">
        <v>135</v>
      </c>
      <c r="G140" s="190">
        <v>6</v>
      </c>
      <c r="H140" s="190">
        <v>6</v>
      </c>
      <c r="I140" s="190">
        <v>6</v>
      </c>
      <c r="J140" s="346">
        <v>25</v>
      </c>
      <c r="K140" s="139"/>
      <c r="L140" s="139"/>
      <c r="M140" s="139"/>
      <c r="N140" s="139"/>
      <c r="O140" s="139"/>
      <c r="P140" s="139"/>
      <c r="Q140" s="6"/>
      <c r="S140" s="13"/>
      <c r="T140" s="13"/>
      <c r="U140" s="13"/>
      <c r="V140" s="13"/>
      <c r="X140" s="13"/>
      <c r="Y140" s="13"/>
      <c r="Z140" s="13"/>
      <c r="AA140" s="13"/>
    </row>
    <row r="141" spans="2:27" ht="16.2" customHeight="1">
      <c r="B141" s="4"/>
      <c r="C141" s="370" t="s">
        <v>136</v>
      </c>
      <c r="D141" s="371" t="s">
        <v>136</v>
      </c>
      <c r="E141" s="371" t="s">
        <v>136</v>
      </c>
      <c r="F141" s="372" t="s">
        <v>136</v>
      </c>
      <c r="G141" s="190">
        <v>6</v>
      </c>
      <c r="H141" s="190">
        <v>6</v>
      </c>
      <c r="I141" s="190">
        <v>6</v>
      </c>
      <c r="J141" s="346">
        <v>25</v>
      </c>
      <c r="K141" s="139"/>
      <c r="L141" s="139"/>
      <c r="M141" s="139"/>
      <c r="N141" s="139"/>
      <c r="O141" s="139"/>
      <c r="P141" s="139"/>
      <c r="Q141" s="6"/>
      <c r="S141" s="13"/>
      <c r="T141" s="13"/>
      <c r="U141" s="13"/>
      <c r="V141" s="13"/>
      <c r="X141" s="13"/>
      <c r="Y141" s="13"/>
      <c r="Z141" s="13"/>
      <c r="AA141" s="13"/>
    </row>
    <row r="142" spans="2:27" ht="14.7" customHeight="1">
      <c r="B142" s="4"/>
      <c r="C142" s="370" t="s">
        <v>137</v>
      </c>
      <c r="D142" s="371" t="s">
        <v>137</v>
      </c>
      <c r="E142" s="371" t="s">
        <v>137</v>
      </c>
      <c r="F142" s="372" t="s">
        <v>137</v>
      </c>
      <c r="G142" s="190">
        <v>6</v>
      </c>
      <c r="H142" s="190">
        <v>6</v>
      </c>
      <c r="I142" s="190">
        <v>6</v>
      </c>
      <c r="J142" s="346">
        <v>25</v>
      </c>
      <c r="K142" s="139"/>
      <c r="L142" s="139"/>
      <c r="M142" s="139"/>
      <c r="N142" s="139"/>
      <c r="O142" s="139"/>
      <c r="P142" s="139"/>
      <c r="Q142" s="6"/>
      <c r="S142" s="13"/>
      <c r="T142" s="13"/>
      <c r="U142" s="13"/>
      <c r="V142" s="13"/>
      <c r="X142" s="13"/>
      <c r="Y142" s="13"/>
      <c r="Z142" s="13"/>
      <c r="AA142" s="13"/>
    </row>
    <row r="143" spans="2:27" ht="16.2" customHeight="1">
      <c r="B143" s="4"/>
      <c r="C143" s="370" t="s">
        <v>138</v>
      </c>
      <c r="D143" s="371" t="s">
        <v>138</v>
      </c>
      <c r="E143" s="371" t="s">
        <v>138</v>
      </c>
      <c r="F143" s="372" t="s">
        <v>138</v>
      </c>
      <c r="G143" s="190">
        <v>6</v>
      </c>
      <c r="H143" s="190">
        <v>6</v>
      </c>
      <c r="I143" s="190">
        <v>6</v>
      </c>
      <c r="J143" s="346">
        <v>25</v>
      </c>
      <c r="K143" s="139"/>
      <c r="L143" s="139"/>
      <c r="M143" s="139"/>
      <c r="N143" s="139"/>
      <c r="O143" s="139"/>
      <c r="P143" s="139"/>
      <c r="Q143" s="6"/>
      <c r="S143" s="13"/>
      <c r="T143" s="13"/>
      <c r="U143" s="13"/>
      <c r="V143" s="13"/>
      <c r="X143" s="13"/>
      <c r="Y143" s="13"/>
      <c r="Z143" s="13"/>
      <c r="AA143" s="13"/>
    </row>
    <row r="144" spans="2:27" ht="15.6" customHeight="1">
      <c r="B144" s="4"/>
      <c r="C144" s="370" t="s">
        <v>139</v>
      </c>
      <c r="D144" s="371" t="s">
        <v>139</v>
      </c>
      <c r="E144" s="371" t="s">
        <v>139</v>
      </c>
      <c r="F144" s="372" t="s">
        <v>139</v>
      </c>
      <c r="G144" s="190">
        <v>6</v>
      </c>
      <c r="H144" s="190">
        <v>6</v>
      </c>
      <c r="I144" s="190">
        <v>6</v>
      </c>
      <c r="J144" s="346">
        <v>25</v>
      </c>
      <c r="K144" s="139"/>
      <c r="L144" s="139"/>
      <c r="M144" s="139"/>
      <c r="N144" s="139"/>
      <c r="O144" s="139"/>
      <c r="P144" s="139"/>
      <c r="Q144" s="6"/>
      <c r="S144" s="13"/>
      <c r="T144" s="13"/>
      <c r="U144" s="13"/>
      <c r="V144" s="13"/>
      <c r="X144" s="13"/>
      <c r="Y144" s="13"/>
      <c r="Z144" s="13"/>
      <c r="AA144" s="13"/>
    </row>
    <row r="145" spans="2:27" ht="14.7" customHeight="1">
      <c r="B145" s="4"/>
      <c r="C145" s="373" t="s">
        <v>140</v>
      </c>
      <c r="D145" s="374" t="s">
        <v>140</v>
      </c>
      <c r="E145" s="374" t="s">
        <v>140</v>
      </c>
      <c r="F145" s="375" t="s">
        <v>140</v>
      </c>
      <c r="G145" s="189">
        <v>0.74</v>
      </c>
      <c r="H145" s="189">
        <v>0.74</v>
      </c>
      <c r="I145" s="189">
        <v>0.23</v>
      </c>
      <c r="J145" s="189">
        <v>9</v>
      </c>
      <c r="K145" s="139"/>
      <c r="L145" s="139"/>
      <c r="M145" s="139"/>
      <c r="N145" s="139"/>
      <c r="O145" s="139"/>
      <c r="P145" s="139"/>
      <c r="Q145" s="6"/>
      <c r="S145" s="13"/>
      <c r="T145" s="13"/>
      <c r="U145" s="13"/>
      <c r="V145" s="13"/>
      <c r="X145" s="13"/>
      <c r="Y145" s="13"/>
      <c r="Z145" s="13"/>
      <c r="AA145" s="13"/>
    </row>
    <row r="146" spans="2:27" ht="17.1" customHeight="1">
      <c r="B146" s="4"/>
      <c r="C146" s="370" t="s">
        <v>141</v>
      </c>
      <c r="D146" s="371" t="s">
        <v>141</v>
      </c>
      <c r="E146" s="371" t="s">
        <v>141</v>
      </c>
      <c r="F146" s="372" t="s">
        <v>141</v>
      </c>
      <c r="G146" s="190">
        <v>6</v>
      </c>
      <c r="H146" s="190">
        <v>6</v>
      </c>
      <c r="I146" s="189">
        <v>0.23</v>
      </c>
      <c r="J146" s="189">
        <v>9</v>
      </c>
      <c r="K146" s="139"/>
      <c r="L146" s="139"/>
      <c r="M146" s="139"/>
      <c r="N146" s="139"/>
      <c r="O146" s="139"/>
      <c r="P146" s="139"/>
      <c r="Q146" s="6"/>
      <c r="S146" s="13"/>
      <c r="T146" s="13"/>
      <c r="U146" s="13"/>
      <c r="V146" s="13"/>
      <c r="X146" s="13"/>
      <c r="Y146" s="13"/>
      <c r="Z146" s="13"/>
      <c r="AA146" s="13"/>
    </row>
    <row r="147" spans="2:27" ht="17.1" customHeight="1">
      <c r="B147" s="4"/>
      <c r="C147" s="373" t="s">
        <v>142</v>
      </c>
      <c r="D147" s="374" t="s">
        <v>142</v>
      </c>
      <c r="E147" s="374" t="s">
        <v>142</v>
      </c>
      <c r="F147" s="375" t="s">
        <v>142</v>
      </c>
      <c r="G147" s="189">
        <v>0.62</v>
      </c>
      <c r="H147" s="189">
        <v>0.62</v>
      </c>
      <c r="I147" s="189">
        <v>0.62</v>
      </c>
      <c r="J147" s="189">
        <v>25</v>
      </c>
      <c r="K147" s="139"/>
      <c r="L147" s="139"/>
      <c r="M147" s="139"/>
      <c r="N147" s="139"/>
      <c r="O147" s="139"/>
      <c r="P147" s="139"/>
      <c r="Q147" s="6"/>
      <c r="S147" s="13"/>
      <c r="T147" s="13"/>
      <c r="U147" s="13"/>
      <c r="V147" s="13"/>
      <c r="X147" s="13"/>
      <c r="Y147" s="13"/>
      <c r="Z147" s="13"/>
      <c r="AA147" s="13"/>
    </row>
    <row r="148" spans="2:27" ht="18.6" customHeight="1">
      <c r="B148" s="4"/>
      <c r="C148" s="370" t="s">
        <v>143</v>
      </c>
      <c r="D148" s="371" t="s">
        <v>143</v>
      </c>
      <c r="E148" s="371" t="s">
        <v>143</v>
      </c>
      <c r="F148" s="372" t="s">
        <v>143</v>
      </c>
      <c r="G148" s="190">
        <v>6</v>
      </c>
      <c r="H148" s="190">
        <v>6</v>
      </c>
      <c r="I148" s="190">
        <v>6</v>
      </c>
      <c r="J148" s="346">
        <v>25</v>
      </c>
      <c r="K148" s="139"/>
      <c r="L148" s="139"/>
      <c r="M148" s="139"/>
      <c r="N148" s="139"/>
      <c r="O148" s="139"/>
      <c r="P148" s="139"/>
      <c r="Q148" s="6"/>
      <c r="S148" s="13"/>
      <c r="T148" s="13"/>
      <c r="U148" s="13"/>
      <c r="V148" s="13"/>
      <c r="X148" s="13"/>
      <c r="Y148" s="13"/>
      <c r="Z148" s="13"/>
      <c r="AA148" s="13"/>
    </row>
    <row r="149" spans="2:27" ht="17.1" customHeight="1">
      <c r="B149" s="4"/>
      <c r="C149" s="373" t="s">
        <v>144</v>
      </c>
      <c r="D149" s="374" t="s">
        <v>144</v>
      </c>
      <c r="E149" s="374" t="s">
        <v>144</v>
      </c>
      <c r="F149" s="375" t="s">
        <v>144</v>
      </c>
      <c r="G149" s="189">
        <v>1.8</v>
      </c>
      <c r="H149" s="189">
        <v>1.8</v>
      </c>
      <c r="I149" s="189">
        <v>0.23</v>
      </c>
      <c r="J149" s="189">
        <v>25</v>
      </c>
      <c r="K149" s="139"/>
      <c r="L149" s="139"/>
      <c r="M149" s="139"/>
      <c r="N149" s="139"/>
      <c r="O149" s="139"/>
      <c r="P149" s="139"/>
      <c r="Q149" s="6"/>
      <c r="S149" s="13"/>
      <c r="T149" s="13"/>
      <c r="U149" s="13"/>
      <c r="V149" s="13"/>
      <c r="X149" s="13"/>
      <c r="Y149" s="13"/>
      <c r="Z149" s="13"/>
      <c r="AA149" s="13"/>
    </row>
    <row r="150" spans="2:27" ht="17.1" customHeight="1">
      <c r="B150" s="4"/>
      <c r="C150" s="373" t="s">
        <v>145</v>
      </c>
      <c r="D150" s="374" t="s">
        <v>145</v>
      </c>
      <c r="E150" s="374" t="s">
        <v>145</v>
      </c>
      <c r="F150" s="375" t="s">
        <v>145</v>
      </c>
      <c r="G150" s="189">
        <v>0.83</v>
      </c>
      <c r="H150" s="189">
        <v>0.83</v>
      </c>
      <c r="I150" s="189">
        <v>0.23</v>
      </c>
      <c r="J150" s="189">
        <v>9</v>
      </c>
      <c r="K150" s="139"/>
      <c r="L150" s="139"/>
      <c r="M150" s="139"/>
      <c r="N150" s="139"/>
      <c r="O150" s="139"/>
      <c r="P150" s="139"/>
      <c r="Q150" s="6"/>
      <c r="S150" s="13"/>
      <c r="T150" s="13"/>
      <c r="U150" s="13"/>
      <c r="V150" s="13"/>
      <c r="X150" s="13"/>
      <c r="Y150" s="13"/>
      <c r="Z150" s="13"/>
      <c r="AA150" s="13"/>
    </row>
    <row r="151" spans="2:27" ht="17.1" customHeight="1">
      <c r="B151" s="4"/>
      <c r="C151" s="370" t="s">
        <v>146</v>
      </c>
      <c r="D151" s="371" t="s">
        <v>146</v>
      </c>
      <c r="E151" s="371" t="s">
        <v>146</v>
      </c>
      <c r="F151" s="372" t="s">
        <v>146</v>
      </c>
      <c r="G151" s="190">
        <v>6</v>
      </c>
      <c r="H151" s="190">
        <v>6</v>
      </c>
      <c r="I151" s="190">
        <v>6</v>
      </c>
      <c r="J151" s="346">
        <v>25</v>
      </c>
      <c r="K151" s="139"/>
      <c r="L151" s="139"/>
      <c r="M151" s="139"/>
      <c r="N151" s="139"/>
      <c r="O151" s="139"/>
      <c r="P151" s="139"/>
      <c r="Q151" s="6"/>
      <c r="S151" s="13"/>
      <c r="T151" s="13"/>
      <c r="U151" s="13"/>
      <c r="V151" s="13"/>
      <c r="X151" s="13"/>
      <c r="Y151" s="13"/>
      <c r="Z151" s="13"/>
      <c r="AA151" s="13"/>
    </row>
    <row r="152" spans="2:27" ht="17.1" customHeight="1">
      <c r="B152" s="4"/>
      <c r="C152" s="373" t="s">
        <v>147</v>
      </c>
      <c r="D152" s="374" t="s">
        <v>147</v>
      </c>
      <c r="E152" s="374" t="s">
        <v>147</v>
      </c>
      <c r="F152" s="375" t="s">
        <v>147</v>
      </c>
      <c r="G152" s="189">
        <v>1.34</v>
      </c>
      <c r="H152" s="189">
        <v>1.34</v>
      </c>
      <c r="I152" s="189">
        <v>0.23</v>
      </c>
      <c r="J152" s="189">
        <v>25</v>
      </c>
      <c r="K152" s="139"/>
      <c r="L152" s="139"/>
      <c r="M152" s="139"/>
      <c r="N152" s="139"/>
      <c r="O152" s="139"/>
      <c r="P152" s="139"/>
      <c r="Q152" s="6"/>
      <c r="S152" s="13"/>
      <c r="T152" s="13"/>
      <c r="U152" s="13"/>
      <c r="V152" s="13"/>
      <c r="X152" s="13"/>
      <c r="Y152" s="13"/>
      <c r="Z152" s="13"/>
      <c r="AA152" s="13"/>
    </row>
    <row r="153" spans="2:27" ht="17.1" customHeight="1">
      <c r="B153" s="4"/>
      <c r="C153" s="370" t="s">
        <v>148</v>
      </c>
      <c r="D153" s="371" t="s">
        <v>148</v>
      </c>
      <c r="E153" s="371" t="s">
        <v>148</v>
      </c>
      <c r="F153" s="372" t="s">
        <v>148</v>
      </c>
      <c r="G153" s="190">
        <v>6</v>
      </c>
      <c r="H153" s="190">
        <v>6</v>
      </c>
      <c r="I153" s="189">
        <v>0.23</v>
      </c>
      <c r="J153" s="189">
        <v>9</v>
      </c>
      <c r="K153" s="139"/>
      <c r="L153" s="139"/>
      <c r="M153" s="139"/>
      <c r="N153" s="139"/>
      <c r="O153" s="139"/>
      <c r="P153" s="139"/>
      <c r="Q153" s="6"/>
      <c r="S153" s="13"/>
      <c r="T153" s="13"/>
      <c r="U153" s="13"/>
      <c r="V153" s="13"/>
      <c r="X153" s="13"/>
      <c r="Y153" s="13"/>
      <c r="Z153" s="13"/>
      <c r="AA153" s="13"/>
    </row>
    <row r="154" spans="2:27" ht="17.1" customHeight="1">
      <c r="B154" s="4"/>
      <c r="C154" s="370" t="s">
        <v>149</v>
      </c>
      <c r="D154" s="371" t="s">
        <v>149</v>
      </c>
      <c r="E154" s="371" t="s">
        <v>149</v>
      </c>
      <c r="F154" s="372" t="s">
        <v>149</v>
      </c>
      <c r="G154" s="190">
        <v>6</v>
      </c>
      <c r="H154" s="190">
        <v>6</v>
      </c>
      <c r="I154" s="190">
        <v>6</v>
      </c>
      <c r="J154" s="346">
        <v>25</v>
      </c>
      <c r="K154" s="139"/>
      <c r="L154" s="139"/>
      <c r="M154" s="139"/>
      <c r="N154" s="139"/>
      <c r="O154" s="139"/>
      <c r="P154" s="139"/>
      <c r="Q154" s="6"/>
      <c r="S154" s="13"/>
      <c r="T154" s="13"/>
      <c r="U154" s="13"/>
      <c r="V154" s="13"/>
      <c r="X154" s="13"/>
      <c r="Y154" s="13"/>
      <c r="Z154" s="13"/>
      <c r="AA154" s="13"/>
    </row>
    <row r="155" spans="2:27" ht="17.1" customHeight="1">
      <c r="B155" s="4"/>
      <c r="C155" s="373" t="s">
        <v>150</v>
      </c>
      <c r="D155" s="374" t="s">
        <v>150</v>
      </c>
      <c r="E155" s="374" t="s">
        <v>150</v>
      </c>
      <c r="F155" s="375" t="s">
        <v>150</v>
      </c>
      <c r="G155" s="189">
        <v>0.65</v>
      </c>
      <c r="H155" s="189">
        <v>0.65</v>
      </c>
      <c r="I155" s="189">
        <v>0.23</v>
      </c>
      <c r="J155" s="189">
        <v>25</v>
      </c>
      <c r="K155" s="139"/>
      <c r="L155" s="139"/>
      <c r="M155" s="139"/>
      <c r="N155" s="139"/>
      <c r="O155" s="139"/>
      <c r="P155" s="139"/>
      <c r="Q155" s="6"/>
      <c r="S155" s="13"/>
      <c r="T155" s="13"/>
      <c r="U155" s="13"/>
      <c r="V155" s="13"/>
      <c r="X155" s="13"/>
      <c r="Y155" s="13"/>
      <c r="Z155" s="13"/>
      <c r="AA155" s="13"/>
    </row>
    <row r="156" spans="2:27" ht="17.1" customHeight="1">
      <c r="B156" s="4"/>
      <c r="C156" s="370" t="s">
        <v>151</v>
      </c>
      <c r="D156" s="371" t="s">
        <v>151</v>
      </c>
      <c r="E156" s="371" t="s">
        <v>151</v>
      </c>
      <c r="F156" s="372" t="s">
        <v>151</v>
      </c>
      <c r="G156" s="190">
        <v>6</v>
      </c>
      <c r="H156" s="190">
        <v>6</v>
      </c>
      <c r="I156" s="189">
        <v>0.23</v>
      </c>
      <c r="J156" s="189">
        <v>9</v>
      </c>
      <c r="K156" s="139"/>
      <c r="L156" s="139"/>
      <c r="M156" s="139"/>
      <c r="N156" s="139"/>
      <c r="O156" s="139"/>
      <c r="P156" s="139"/>
      <c r="Q156" s="6"/>
      <c r="S156" s="13"/>
      <c r="T156" s="13"/>
      <c r="U156" s="13"/>
      <c r="V156" s="13"/>
      <c r="X156" s="13"/>
      <c r="Y156" s="13"/>
      <c r="Z156" s="13"/>
      <c r="AA156" s="13"/>
    </row>
    <row r="157" spans="2:27" ht="17.1" customHeight="1">
      <c r="B157" s="4"/>
      <c r="C157" s="370" t="s">
        <v>152</v>
      </c>
      <c r="D157" s="371" t="s">
        <v>152</v>
      </c>
      <c r="E157" s="371" t="s">
        <v>152</v>
      </c>
      <c r="F157" s="372" t="s">
        <v>152</v>
      </c>
      <c r="G157" s="190">
        <v>6</v>
      </c>
      <c r="H157" s="190">
        <v>6</v>
      </c>
      <c r="I157" s="190">
        <v>6</v>
      </c>
      <c r="J157" s="346">
        <v>25</v>
      </c>
      <c r="K157" s="139"/>
      <c r="L157" s="139"/>
      <c r="M157" s="139"/>
      <c r="N157" s="139"/>
      <c r="O157" s="139"/>
      <c r="P157" s="139"/>
      <c r="Q157" s="6"/>
      <c r="S157" s="13"/>
      <c r="T157" s="13"/>
      <c r="U157" s="13"/>
      <c r="V157" s="13"/>
      <c r="X157" s="13"/>
      <c r="Y157" s="13"/>
      <c r="Z157" s="13"/>
      <c r="AA157" s="13"/>
    </row>
    <row r="158" spans="2:27" ht="17.1" customHeight="1">
      <c r="B158" s="4"/>
      <c r="C158" s="370" t="s">
        <v>153</v>
      </c>
      <c r="D158" s="371" t="s">
        <v>153</v>
      </c>
      <c r="E158" s="371" t="s">
        <v>153</v>
      </c>
      <c r="F158" s="372" t="s">
        <v>153</v>
      </c>
      <c r="G158" s="190">
        <v>6</v>
      </c>
      <c r="H158" s="190">
        <v>6</v>
      </c>
      <c r="I158" s="190">
        <v>6</v>
      </c>
      <c r="J158" s="346">
        <v>25</v>
      </c>
      <c r="K158" s="139"/>
      <c r="L158" s="139"/>
      <c r="M158" s="139"/>
      <c r="N158" s="139"/>
      <c r="O158" s="139"/>
      <c r="P158" s="139"/>
      <c r="Q158" s="6"/>
      <c r="S158" s="13"/>
      <c r="T158" s="13"/>
      <c r="U158" s="13"/>
      <c r="V158" s="13"/>
      <c r="X158" s="13"/>
      <c r="Y158" s="13"/>
      <c r="Z158" s="13"/>
      <c r="AA158" s="13"/>
    </row>
    <row r="159" spans="2:27" ht="17.1" customHeight="1">
      <c r="B159" s="4"/>
      <c r="C159" s="370" t="s">
        <v>154</v>
      </c>
      <c r="D159" s="371" t="s">
        <v>154</v>
      </c>
      <c r="E159" s="371" t="s">
        <v>154</v>
      </c>
      <c r="F159" s="372" t="s">
        <v>154</v>
      </c>
      <c r="G159" s="190">
        <v>6</v>
      </c>
      <c r="H159" s="190">
        <v>6</v>
      </c>
      <c r="I159" s="190">
        <v>6</v>
      </c>
      <c r="J159" s="346">
        <v>25</v>
      </c>
      <c r="K159" s="139"/>
      <c r="L159" s="139"/>
      <c r="M159" s="139"/>
      <c r="N159" s="139"/>
      <c r="O159" s="139"/>
      <c r="P159" s="139"/>
      <c r="Q159" s="6"/>
      <c r="S159" s="13"/>
      <c r="T159" s="13"/>
      <c r="U159" s="13"/>
      <c r="V159" s="13"/>
      <c r="X159" s="13"/>
      <c r="Y159" s="13"/>
      <c r="Z159" s="13"/>
      <c r="AA159" s="13"/>
    </row>
    <row r="160" spans="2:27" ht="17.1" customHeight="1">
      <c r="B160" s="4"/>
      <c r="C160" s="370" t="s">
        <v>155</v>
      </c>
      <c r="D160" s="371" t="s">
        <v>155</v>
      </c>
      <c r="E160" s="371" t="s">
        <v>155</v>
      </c>
      <c r="F160" s="372" t="s">
        <v>155</v>
      </c>
      <c r="G160" s="190">
        <v>6</v>
      </c>
      <c r="H160" s="190">
        <v>6</v>
      </c>
      <c r="I160" s="190">
        <v>6</v>
      </c>
      <c r="J160" s="346">
        <v>25</v>
      </c>
      <c r="K160" s="139"/>
      <c r="L160" s="139"/>
      <c r="M160" s="139"/>
      <c r="N160" s="139"/>
      <c r="O160" s="139"/>
      <c r="P160" s="139"/>
      <c r="Q160" s="6"/>
      <c r="S160" s="13"/>
      <c r="T160" s="13"/>
      <c r="U160" s="13"/>
      <c r="V160" s="13"/>
      <c r="X160" s="13"/>
      <c r="Y160" s="13"/>
      <c r="Z160" s="13"/>
      <c r="AA160" s="13"/>
    </row>
    <row r="161" spans="2:27" ht="17.1" customHeight="1">
      <c r="B161" s="4"/>
      <c r="C161" s="370" t="s">
        <v>156</v>
      </c>
      <c r="D161" s="371" t="s">
        <v>156</v>
      </c>
      <c r="E161" s="371" t="s">
        <v>156</v>
      </c>
      <c r="F161" s="372" t="s">
        <v>156</v>
      </c>
      <c r="G161" s="190">
        <v>6</v>
      </c>
      <c r="H161" s="190">
        <v>6</v>
      </c>
      <c r="I161" s="190">
        <v>6</v>
      </c>
      <c r="J161" s="346">
        <v>25</v>
      </c>
      <c r="K161" s="139"/>
      <c r="L161" s="139"/>
      <c r="M161" s="139"/>
      <c r="N161" s="139"/>
      <c r="O161" s="139"/>
      <c r="P161" s="139"/>
      <c r="Q161" s="6"/>
      <c r="S161" s="13"/>
      <c r="T161" s="13"/>
      <c r="U161" s="13"/>
      <c r="V161" s="13"/>
      <c r="X161" s="13"/>
      <c r="Y161" s="13"/>
      <c r="Z161" s="13"/>
      <c r="AA161" s="13"/>
    </row>
    <row r="162" spans="2:27" ht="17.1" customHeight="1">
      <c r="B162" s="4"/>
      <c r="C162" s="373" t="s">
        <v>157</v>
      </c>
      <c r="D162" s="374" t="s">
        <v>157</v>
      </c>
      <c r="E162" s="374" t="s">
        <v>157</v>
      </c>
      <c r="F162" s="375" t="s">
        <v>157</v>
      </c>
      <c r="G162" s="189">
        <v>0.72</v>
      </c>
      <c r="H162" s="189">
        <v>0.72</v>
      </c>
      <c r="I162" s="189">
        <v>0.72</v>
      </c>
      <c r="J162" s="189">
        <v>25</v>
      </c>
      <c r="K162" s="139"/>
      <c r="L162" s="139"/>
      <c r="M162" s="139"/>
      <c r="N162" s="139"/>
      <c r="O162" s="139"/>
      <c r="P162" s="139"/>
      <c r="Q162" s="6"/>
      <c r="S162" s="13"/>
      <c r="T162" s="13"/>
      <c r="U162" s="13"/>
      <c r="V162" s="13"/>
      <c r="X162" s="13"/>
      <c r="Y162" s="13"/>
      <c r="Z162" s="13"/>
      <c r="AA162" s="13"/>
    </row>
    <row r="163" spans="2:27" ht="17.1" customHeight="1">
      <c r="B163" s="4"/>
      <c r="C163" s="370" t="s">
        <v>158</v>
      </c>
      <c r="D163" s="371" t="s">
        <v>158</v>
      </c>
      <c r="E163" s="371" t="s">
        <v>158</v>
      </c>
      <c r="F163" s="372" t="s">
        <v>158</v>
      </c>
      <c r="G163" s="190">
        <v>6</v>
      </c>
      <c r="H163" s="190">
        <v>6</v>
      </c>
      <c r="I163" s="190">
        <v>6</v>
      </c>
      <c r="J163" s="346">
        <v>25</v>
      </c>
      <c r="K163" s="139"/>
      <c r="L163" s="139"/>
      <c r="M163" s="139"/>
      <c r="N163" s="139"/>
      <c r="O163" s="139"/>
      <c r="P163" s="139"/>
      <c r="Q163" s="6"/>
      <c r="S163" s="13"/>
      <c r="T163" s="13"/>
      <c r="U163" s="13"/>
      <c r="V163" s="13"/>
      <c r="X163" s="13"/>
      <c r="Y163" s="13"/>
      <c r="Z163" s="13"/>
      <c r="AA163" s="13"/>
    </row>
    <row r="164" spans="2:27" ht="17.1" customHeight="1">
      <c r="B164" s="4"/>
      <c r="C164" s="370" t="s">
        <v>159</v>
      </c>
      <c r="D164" s="371" t="s">
        <v>159</v>
      </c>
      <c r="E164" s="371" t="s">
        <v>159</v>
      </c>
      <c r="F164" s="372" t="s">
        <v>159</v>
      </c>
      <c r="G164" s="190">
        <v>6</v>
      </c>
      <c r="H164" s="190">
        <v>6</v>
      </c>
      <c r="I164" s="190">
        <v>6</v>
      </c>
      <c r="J164" s="346">
        <v>25</v>
      </c>
      <c r="K164" s="139"/>
      <c r="L164" s="139"/>
      <c r="M164" s="139"/>
      <c r="N164" s="139"/>
      <c r="O164" s="139"/>
      <c r="P164" s="139"/>
      <c r="Q164" s="6"/>
      <c r="S164" s="13"/>
      <c r="T164" s="13"/>
      <c r="U164" s="13"/>
      <c r="V164" s="13"/>
      <c r="X164" s="13"/>
      <c r="Y164" s="13"/>
      <c r="Z164" s="13"/>
      <c r="AA164" s="13"/>
    </row>
    <row r="165" spans="2:27" ht="20.1" customHeight="1">
      <c r="B165" s="4"/>
      <c r="C165" s="373" t="s">
        <v>160</v>
      </c>
      <c r="D165" s="374" t="s">
        <v>160</v>
      </c>
      <c r="E165" s="374" t="s">
        <v>160</v>
      </c>
      <c r="F165" s="375" t="s">
        <v>160</v>
      </c>
      <c r="G165" s="189">
        <v>0.86</v>
      </c>
      <c r="H165" s="189">
        <v>0.86</v>
      </c>
      <c r="I165" s="189">
        <v>0.23</v>
      </c>
      <c r="J165" s="189">
        <v>9</v>
      </c>
      <c r="K165" s="139"/>
      <c r="L165" s="139"/>
      <c r="M165" s="139"/>
      <c r="N165" s="139"/>
      <c r="O165" s="139"/>
      <c r="P165" s="139"/>
      <c r="Q165" s="6"/>
      <c r="S165" s="13"/>
      <c r="T165" s="13"/>
      <c r="U165" s="13"/>
      <c r="V165" s="13"/>
      <c r="X165" s="13"/>
      <c r="Y165" s="13"/>
      <c r="Z165" s="13"/>
      <c r="AA165" s="13"/>
    </row>
    <row r="166" spans="2:27" ht="20.7" customHeight="1">
      <c r="B166" s="4"/>
      <c r="C166" s="370" t="s">
        <v>161</v>
      </c>
      <c r="D166" s="371" t="s">
        <v>161</v>
      </c>
      <c r="E166" s="371" t="s">
        <v>161</v>
      </c>
      <c r="F166" s="372" t="s">
        <v>161</v>
      </c>
      <c r="G166" s="190">
        <v>6</v>
      </c>
      <c r="H166" s="190">
        <v>6</v>
      </c>
      <c r="I166" s="190">
        <v>6</v>
      </c>
      <c r="J166" s="346">
        <v>25</v>
      </c>
      <c r="K166" s="139"/>
      <c r="L166" s="139"/>
      <c r="M166" s="139"/>
      <c r="N166" s="139"/>
      <c r="O166" s="139"/>
      <c r="P166" s="139"/>
      <c r="Q166" s="6"/>
      <c r="S166" s="13"/>
      <c r="T166" s="13"/>
      <c r="U166" s="13"/>
      <c r="V166" s="13"/>
      <c r="X166" s="13"/>
      <c r="Y166" s="13"/>
      <c r="Z166" s="13"/>
      <c r="AA166" s="13"/>
    </row>
    <row r="167" spans="2:27" ht="16.2" customHeight="1">
      <c r="B167" s="4"/>
      <c r="C167" s="370" t="s">
        <v>162</v>
      </c>
      <c r="D167" s="371" t="s">
        <v>162</v>
      </c>
      <c r="E167" s="371" t="s">
        <v>162</v>
      </c>
      <c r="F167" s="372" t="s">
        <v>162</v>
      </c>
      <c r="G167" s="190">
        <v>6</v>
      </c>
      <c r="H167" s="190">
        <v>6</v>
      </c>
      <c r="I167" s="190">
        <v>1.8</v>
      </c>
      <c r="J167" s="346">
        <v>25</v>
      </c>
      <c r="K167" s="139"/>
      <c r="L167" s="139"/>
      <c r="M167" s="139"/>
      <c r="N167" s="139"/>
      <c r="O167" s="139"/>
      <c r="P167" s="139"/>
      <c r="Q167" s="6"/>
      <c r="S167" s="13"/>
      <c r="T167" s="13"/>
      <c r="U167" s="13"/>
      <c r="V167" s="13"/>
      <c r="X167" s="13"/>
      <c r="Y167" s="13"/>
      <c r="Z167" s="13"/>
      <c r="AA167" s="13"/>
    </row>
    <row r="168" spans="2:27" ht="17.7" customHeight="1">
      <c r="B168" s="4"/>
      <c r="C168" s="370" t="s">
        <v>163</v>
      </c>
      <c r="D168" s="371" t="s">
        <v>163</v>
      </c>
      <c r="E168" s="371" t="s">
        <v>163</v>
      </c>
      <c r="F168" s="372" t="s">
        <v>163</v>
      </c>
      <c r="G168" s="190">
        <v>6</v>
      </c>
      <c r="H168" s="190">
        <v>6</v>
      </c>
      <c r="I168" s="190">
        <v>6</v>
      </c>
      <c r="J168" s="346">
        <v>25</v>
      </c>
      <c r="K168" s="139"/>
      <c r="L168" s="139"/>
      <c r="M168" s="139"/>
      <c r="N168" s="139"/>
      <c r="O168" s="139"/>
      <c r="P168" s="139"/>
      <c r="Q168" s="6"/>
      <c r="S168" s="13"/>
      <c r="T168" s="13"/>
      <c r="U168" s="13"/>
      <c r="V168" s="13"/>
      <c r="X168" s="13"/>
      <c r="Y168" s="13"/>
      <c r="Z168" s="13"/>
      <c r="AA168" s="13"/>
    </row>
    <row r="169" spans="2:27" ht="18.6" customHeight="1">
      <c r="B169" s="4"/>
      <c r="C169" s="370" t="s">
        <v>164</v>
      </c>
      <c r="D169" s="371" t="s">
        <v>164</v>
      </c>
      <c r="E169" s="371" t="s">
        <v>164</v>
      </c>
      <c r="F169" s="372" t="s">
        <v>164</v>
      </c>
      <c r="G169" s="190">
        <v>6</v>
      </c>
      <c r="H169" s="190">
        <v>6</v>
      </c>
      <c r="I169" s="190">
        <v>6</v>
      </c>
      <c r="J169" s="346">
        <v>25</v>
      </c>
      <c r="K169" s="139"/>
      <c r="L169" s="139"/>
      <c r="M169" s="139"/>
      <c r="N169" s="139"/>
      <c r="O169" s="139"/>
      <c r="P169" s="139"/>
      <c r="Q169" s="6"/>
      <c r="S169" s="13"/>
      <c r="T169" s="13"/>
      <c r="U169" s="13"/>
      <c r="V169" s="13"/>
      <c r="X169" s="13"/>
      <c r="Y169" s="13"/>
      <c r="Z169" s="13"/>
      <c r="AA169" s="13"/>
    </row>
    <row r="170" spans="2:27" ht="31.2" customHeight="1">
      <c r="B170" s="4"/>
      <c r="C170" s="373" t="s">
        <v>165</v>
      </c>
      <c r="D170" s="374" t="s">
        <v>165</v>
      </c>
      <c r="E170" s="374" t="s">
        <v>165</v>
      </c>
      <c r="F170" s="375" t="s">
        <v>165</v>
      </c>
      <c r="G170" s="189">
        <v>1.52</v>
      </c>
      <c r="H170" s="189">
        <v>1.52</v>
      </c>
      <c r="I170" s="189">
        <v>0.23</v>
      </c>
      <c r="J170" s="189">
        <v>25</v>
      </c>
      <c r="K170" s="139"/>
      <c r="L170" s="139"/>
      <c r="M170" s="139"/>
      <c r="N170" s="139"/>
      <c r="O170" s="139"/>
      <c r="P170" s="139"/>
      <c r="Q170" s="6"/>
      <c r="S170" s="13"/>
      <c r="T170" s="13"/>
      <c r="U170" s="13"/>
      <c r="V170" s="13"/>
      <c r="X170" s="13"/>
      <c r="Y170" s="13"/>
      <c r="Z170" s="13"/>
      <c r="AA170" s="13"/>
    </row>
    <row r="171" spans="2:27" ht="17.1" customHeight="1">
      <c r="B171" s="4"/>
      <c r="C171" s="389" t="s">
        <v>166</v>
      </c>
      <c r="D171" s="389" t="s">
        <v>166</v>
      </c>
      <c r="E171" s="389" t="s">
        <v>166</v>
      </c>
      <c r="F171" s="389" t="s">
        <v>166</v>
      </c>
      <c r="G171" s="190">
        <v>6</v>
      </c>
      <c r="H171" s="190">
        <v>6</v>
      </c>
      <c r="I171" s="190">
        <v>6</v>
      </c>
      <c r="J171" s="346">
        <v>25</v>
      </c>
      <c r="K171" s="139"/>
      <c r="L171" s="139"/>
      <c r="M171" s="139"/>
      <c r="N171" s="139"/>
      <c r="O171" s="139"/>
      <c r="P171" s="139"/>
      <c r="Q171" s="6"/>
      <c r="S171" s="13"/>
      <c r="T171" s="13"/>
      <c r="U171" s="13"/>
      <c r="V171" s="13"/>
      <c r="X171" s="13"/>
      <c r="Y171" s="13"/>
      <c r="Z171" s="13"/>
      <c r="AA171" s="13"/>
    </row>
    <row r="172" spans="2:27" ht="17.1" customHeight="1">
      <c r="B172" s="4"/>
      <c r="C172" s="390" t="s">
        <v>167</v>
      </c>
      <c r="D172" s="390" t="s">
        <v>167</v>
      </c>
      <c r="E172" s="390" t="s">
        <v>167</v>
      </c>
      <c r="F172" s="390" t="s">
        <v>167</v>
      </c>
      <c r="G172" s="189">
        <v>0.36</v>
      </c>
      <c r="H172" s="189">
        <v>0.36000000000000004</v>
      </c>
      <c r="I172" s="189">
        <v>0.23</v>
      </c>
      <c r="J172" s="189">
        <v>9</v>
      </c>
      <c r="K172" s="139"/>
      <c r="L172" s="139"/>
      <c r="M172" s="139"/>
      <c r="N172" s="139"/>
      <c r="O172" s="139"/>
      <c r="P172" s="139"/>
      <c r="Q172" s="6"/>
      <c r="S172" s="13"/>
      <c r="T172" s="13"/>
      <c r="U172" s="13"/>
      <c r="V172" s="13"/>
      <c r="X172" s="13"/>
      <c r="Y172" s="13"/>
      <c r="Z172" s="13"/>
      <c r="AA172" s="13"/>
    </row>
    <row r="173" spans="2:27" ht="18.6" customHeight="1">
      <c r="B173" s="4"/>
      <c r="C173" s="389" t="s">
        <v>168</v>
      </c>
      <c r="D173" s="389" t="s">
        <v>168</v>
      </c>
      <c r="E173" s="389" t="s">
        <v>168</v>
      </c>
      <c r="F173" s="389" t="s">
        <v>168</v>
      </c>
      <c r="G173" s="190">
        <v>6</v>
      </c>
      <c r="H173" s="190">
        <v>6</v>
      </c>
      <c r="I173" s="190">
        <v>6</v>
      </c>
      <c r="J173" s="346">
        <v>25</v>
      </c>
      <c r="K173" s="139"/>
      <c r="L173" s="139"/>
      <c r="M173" s="139"/>
      <c r="N173" s="139"/>
      <c r="O173" s="139"/>
      <c r="P173" s="139"/>
      <c r="Q173" s="6"/>
      <c r="S173" s="13"/>
      <c r="T173" s="13"/>
      <c r="U173" s="13"/>
      <c r="V173" s="13"/>
      <c r="X173" s="13"/>
      <c r="Y173" s="13"/>
      <c r="Z173" s="13"/>
      <c r="AA173" s="13"/>
    </row>
    <row r="174" spans="2:27" ht="18.6" customHeight="1">
      <c r="B174" s="4"/>
      <c r="C174" s="389" t="s">
        <v>169</v>
      </c>
      <c r="D174" s="389" t="s">
        <v>169</v>
      </c>
      <c r="E174" s="389" t="s">
        <v>169</v>
      </c>
      <c r="F174" s="389" t="s">
        <v>169</v>
      </c>
      <c r="G174" s="190">
        <v>6</v>
      </c>
      <c r="H174" s="190">
        <v>6</v>
      </c>
      <c r="I174" s="190">
        <v>6</v>
      </c>
      <c r="J174" s="346">
        <v>25</v>
      </c>
      <c r="K174" s="139"/>
      <c r="L174" s="139"/>
      <c r="M174" s="139"/>
      <c r="N174" s="139"/>
      <c r="O174" s="139"/>
      <c r="P174" s="139"/>
      <c r="Q174" s="6"/>
      <c r="S174" s="13"/>
      <c r="T174" s="13"/>
      <c r="U174" s="13"/>
      <c r="V174" s="13"/>
      <c r="X174" s="13"/>
      <c r="Y174" s="13"/>
      <c r="Z174" s="13"/>
      <c r="AA174" s="13"/>
    </row>
    <row r="175" spans="2:22" ht="18.6" customHeight="1">
      <c r="B175" s="4"/>
      <c r="C175" s="370" t="s">
        <v>170</v>
      </c>
      <c r="D175" s="371" t="s">
        <v>170</v>
      </c>
      <c r="E175" s="371" t="s">
        <v>170</v>
      </c>
      <c r="F175" s="372" t="s">
        <v>170</v>
      </c>
      <c r="G175" s="190">
        <v>6</v>
      </c>
      <c r="H175" s="190">
        <v>6</v>
      </c>
      <c r="I175" s="190">
        <v>6</v>
      </c>
      <c r="J175" s="346">
        <v>25</v>
      </c>
      <c r="K175" s="139"/>
      <c r="L175" s="139"/>
      <c r="M175" s="139"/>
      <c r="N175" s="139"/>
      <c r="O175" s="139"/>
      <c r="P175" s="139"/>
      <c r="Q175" s="6"/>
      <c r="S175" s="13"/>
      <c r="T175" s="13"/>
      <c r="U175" s="13"/>
      <c r="V175" s="13"/>
    </row>
    <row r="176" spans="2:27" ht="18.6" customHeight="1">
      <c r="B176" s="4"/>
      <c r="C176" s="370" t="s">
        <v>171</v>
      </c>
      <c r="D176" s="371" t="s">
        <v>171</v>
      </c>
      <c r="E176" s="371" t="s">
        <v>171</v>
      </c>
      <c r="F176" s="372" t="s">
        <v>171</v>
      </c>
      <c r="G176" s="190">
        <v>6</v>
      </c>
      <c r="H176" s="190">
        <v>6</v>
      </c>
      <c r="I176" s="190">
        <v>6</v>
      </c>
      <c r="J176" s="346">
        <v>25</v>
      </c>
      <c r="K176" s="139"/>
      <c r="L176" s="139"/>
      <c r="M176" s="139"/>
      <c r="N176" s="139"/>
      <c r="O176" s="139"/>
      <c r="P176" s="139"/>
      <c r="Q176" s="6"/>
      <c r="S176" s="13"/>
      <c r="T176" s="13"/>
      <c r="U176" s="13"/>
      <c r="V176" s="13"/>
      <c r="X176" s="13"/>
      <c r="Y176" s="13"/>
      <c r="Z176" s="13"/>
      <c r="AA176" s="13"/>
    </row>
    <row r="177" spans="2:27" ht="18.6" customHeight="1">
      <c r="B177" s="4"/>
      <c r="C177" s="370" t="s">
        <v>172</v>
      </c>
      <c r="D177" s="371" t="s">
        <v>172</v>
      </c>
      <c r="E177" s="371" t="s">
        <v>172</v>
      </c>
      <c r="F177" s="372" t="s">
        <v>172</v>
      </c>
      <c r="G177" s="190">
        <v>6</v>
      </c>
      <c r="H177" s="190">
        <v>6</v>
      </c>
      <c r="I177" s="190">
        <v>6</v>
      </c>
      <c r="J177" s="346">
        <v>25</v>
      </c>
      <c r="K177" s="139"/>
      <c r="L177" s="139"/>
      <c r="M177" s="139"/>
      <c r="N177" s="139"/>
      <c r="O177" s="139"/>
      <c r="P177" s="139"/>
      <c r="Q177" s="6"/>
      <c r="S177" s="13"/>
      <c r="T177" s="13"/>
      <c r="U177" s="13"/>
      <c r="V177" s="13"/>
      <c r="X177" s="13"/>
      <c r="Y177" s="13"/>
      <c r="Z177" s="13"/>
      <c r="AA177" s="13"/>
    </row>
    <row r="178" spans="2:27" ht="18.6" customHeight="1">
      <c r="B178" s="4"/>
      <c r="C178" s="370" t="s">
        <v>173</v>
      </c>
      <c r="D178" s="371" t="s">
        <v>173</v>
      </c>
      <c r="E178" s="371" t="s">
        <v>173</v>
      </c>
      <c r="F178" s="372" t="s">
        <v>173</v>
      </c>
      <c r="G178" s="190">
        <v>6</v>
      </c>
      <c r="H178" s="190">
        <v>6</v>
      </c>
      <c r="I178" s="190">
        <v>6</v>
      </c>
      <c r="J178" s="346">
        <v>25</v>
      </c>
      <c r="K178" s="139"/>
      <c r="L178" s="139"/>
      <c r="M178" s="139"/>
      <c r="N178" s="139"/>
      <c r="O178" s="139"/>
      <c r="P178" s="139"/>
      <c r="Q178" s="6"/>
      <c r="S178" s="13"/>
      <c r="T178" s="13"/>
      <c r="U178" s="13"/>
      <c r="V178" s="13"/>
      <c r="X178" s="13"/>
      <c r="Y178" s="13"/>
      <c r="Z178" s="13"/>
      <c r="AA178" s="13"/>
    </row>
    <row r="179" spans="2:27" ht="29.1" customHeight="1">
      <c r="B179" s="4"/>
      <c r="C179" s="390" t="s">
        <v>174</v>
      </c>
      <c r="D179" s="390" t="s">
        <v>174</v>
      </c>
      <c r="E179" s="390" t="s">
        <v>174</v>
      </c>
      <c r="F179" s="390" t="s">
        <v>174</v>
      </c>
      <c r="G179" s="189">
        <v>0.9</v>
      </c>
      <c r="H179" s="189">
        <v>0.9</v>
      </c>
      <c r="I179" s="189">
        <v>0.23</v>
      </c>
      <c r="J179" s="189">
        <v>9</v>
      </c>
      <c r="K179" s="139"/>
      <c r="L179" s="139"/>
      <c r="M179" s="139"/>
      <c r="N179" s="139"/>
      <c r="O179" s="139"/>
      <c r="P179" s="139"/>
      <c r="Q179" s="6"/>
      <c r="S179" s="13"/>
      <c r="T179" s="13"/>
      <c r="U179" s="13"/>
      <c r="V179" s="13"/>
      <c r="X179" s="13"/>
      <c r="Y179" s="13"/>
      <c r="Z179" s="13"/>
      <c r="AA179" s="13"/>
    </row>
    <row r="180" spans="2:27" ht="20.7" customHeight="1">
      <c r="B180" s="4"/>
      <c r="C180" s="376" t="s">
        <v>175</v>
      </c>
      <c r="D180" s="376" t="s">
        <v>175</v>
      </c>
      <c r="E180" s="376" t="s">
        <v>175</v>
      </c>
      <c r="F180" s="376" t="s">
        <v>175</v>
      </c>
      <c r="G180" s="341">
        <v>0.61</v>
      </c>
      <c r="H180" s="341">
        <v>0.23</v>
      </c>
      <c r="I180" s="189">
        <v>0.23</v>
      </c>
      <c r="J180" s="189">
        <v>9</v>
      </c>
      <c r="K180" s="139"/>
      <c r="L180" s="139"/>
      <c r="M180" s="139"/>
      <c r="N180" s="139"/>
      <c r="O180" s="139"/>
      <c r="P180" s="139"/>
      <c r="Q180" s="6"/>
      <c r="S180" s="13"/>
      <c r="T180" s="13"/>
      <c r="U180" s="13"/>
      <c r="V180" s="13"/>
      <c r="X180" s="13"/>
      <c r="Y180" s="13"/>
      <c r="Z180" s="13"/>
      <c r="AA180" s="13"/>
    </row>
    <row r="181" spans="2:27" ht="19.2" customHeight="1">
      <c r="B181" s="4"/>
      <c r="C181" s="402"/>
      <c r="D181" s="402"/>
      <c r="E181" s="402"/>
      <c r="F181" s="402"/>
      <c r="G181" s="402"/>
      <c r="H181" s="402"/>
      <c r="I181" s="139"/>
      <c r="J181" s="139"/>
      <c r="K181" s="139"/>
      <c r="L181" s="139"/>
      <c r="M181" s="139"/>
      <c r="N181" s="139"/>
      <c r="O181" s="139"/>
      <c r="P181" s="139"/>
      <c r="Q181" s="6"/>
      <c r="S181" s="13"/>
      <c r="T181" s="13"/>
      <c r="U181" s="13"/>
      <c r="V181" s="13"/>
      <c r="X181" s="13"/>
      <c r="Y181" s="13"/>
      <c r="Z181" s="13"/>
      <c r="AA181" s="13"/>
    </row>
    <row r="182" spans="2:17" ht="16.5" customHeight="1">
      <c r="B182" s="4"/>
      <c r="C182" s="381" t="s">
        <v>176</v>
      </c>
      <c r="D182" s="381"/>
      <c r="E182" s="381"/>
      <c r="F182" s="191"/>
      <c r="G182" s="191"/>
      <c r="H182" s="191"/>
      <c r="I182" s="191"/>
      <c r="J182" s="191"/>
      <c r="K182" s="191"/>
      <c r="L182" s="191"/>
      <c r="M182" s="191"/>
      <c r="N182" s="191"/>
      <c r="O182" s="191"/>
      <c r="P182" s="191"/>
      <c r="Q182" s="6"/>
    </row>
    <row r="183" spans="2:17" ht="56.1" customHeight="1">
      <c r="B183" s="4"/>
      <c r="C183" s="388" t="s">
        <v>177</v>
      </c>
      <c r="D183" s="388"/>
      <c r="E183" s="388"/>
      <c r="F183" s="388"/>
      <c r="G183" s="388"/>
      <c r="H183" s="388"/>
      <c r="I183" s="388"/>
      <c r="J183" s="388"/>
      <c r="K183" s="388"/>
      <c r="L183" s="388"/>
      <c r="M183" s="388"/>
      <c r="N183" s="388"/>
      <c r="O183" s="388"/>
      <c r="P183" s="388"/>
      <c r="Q183" s="6"/>
    </row>
    <row r="184" spans="2:17" ht="18" customHeight="1">
      <c r="B184" s="4"/>
      <c r="C184" s="403" t="s">
        <v>178</v>
      </c>
      <c r="D184" s="403"/>
      <c r="E184" s="403"/>
      <c r="F184" s="403"/>
      <c r="G184" s="403"/>
      <c r="H184" s="403"/>
      <c r="I184" s="403"/>
      <c r="J184" s="403"/>
      <c r="K184" s="403"/>
      <c r="L184" s="403"/>
      <c r="M184" s="403"/>
      <c r="N184" s="403"/>
      <c r="O184" s="403"/>
      <c r="P184" s="403"/>
      <c r="Q184" s="6"/>
    </row>
    <row r="185" spans="2:17" ht="18" customHeight="1">
      <c r="B185" s="4"/>
      <c r="C185" s="404" t="s">
        <v>179</v>
      </c>
      <c r="D185" s="404"/>
      <c r="E185" s="404"/>
      <c r="F185" s="404"/>
      <c r="G185" s="404"/>
      <c r="H185" s="404"/>
      <c r="I185" s="404"/>
      <c r="J185" s="404"/>
      <c r="K185" s="404"/>
      <c r="L185" s="404"/>
      <c r="M185" s="404"/>
      <c r="N185" s="404"/>
      <c r="O185" s="404"/>
      <c r="P185" s="404"/>
      <c r="Q185" s="6"/>
    </row>
    <row r="186" spans="2:17" ht="18" customHeight="1">
      <c r="B186" s="4"/>
      <c r="C186" s="404" t="s">
        <v>180</v>
      </c>
      <c r="D186" s="404"/>
      <c r="E186" s="404"/>
      <c r="F186" s="404"/>
      <c r="G186" s="404"/>
      <c r="H186" s="404"/>
      <c r="I186" s="404"/>
      <c r="J186" s="404"/>
      <c r="K186" s="404"/>
      <c r="L186" s="404"/>
      <c r="M186" s="404"/>
      <c r="N186" s="404"/>
      <c r="O186" s="404"/>
      <c r="P186" s="404"/>
      <c r="Q186" s="6"/>
    </row>
    <row r="187" spans="2:17" ht="18" customHeight="1">
      <c r="B187" s="4"/>
      <c r="C187" s="404" t="s">
        <v>181</v>
      </c>
      <c r="D187" s="404"/>
      <c r="E187" s="404"/>
      <c r="F187" s="404"/>
      <c r="G187" s="404"/>
      <c r="H187" s="404"/>
      <c r="I187" s="404"/>
      <c r="J187" s="404"/>
      <c r="K187" s="404"/>
      <c r="L187" s="404"/>
      <c r="M187" s="404"/>
      <c r="N187" s="404"/>
      <c r="O187" s="404"/>
      <c r="P187" s="404"/>
      <c r="Q187" s="6"/>
    </row>
    <row r="188" spans="2:17" ht="21" customHeight="1">
      <c r="B188" s="4"/>
      <c r="C188" s="139" t="s">
        <v>182</v>
      </c>
      <c r="D188" s="139"/>
      <c r="E188" s="139"/>
      <c r="F188" s="139"/>
      <c r="G188" s="139"/>
      <c r="H188" s="139"/>
      <c r="I188" s="139"/>
      <c r="J188" s="139"/>
      <c r="K188" s="139"/>
      <c r="L188" s="139"/>
      <c r="M188" s="139"/>
      <c r="N188" s="139"/>
      <c r="O188" s="139"/>
      <c r="P188" s="139"/>
      <c r="Q188" s="6"/>
    </row>
    <row r="189" spans="2:17" ht="8.1" customHeight="1">
      <c r="B189" s="4"/>
      <c r="C189" s="192"/>
      <c r="D189" s="192"/>
      <c r="E189" s="192"/>
      <c r="F189" s="192"/>
      <c r="G189" s="192"/>
      <c r="H189" s="192"/>
      <c r="I189" s="192"/>
      <c r="J189" s="192"/>
      <c r="K189" s="192"/>
      <c r="L189" s="192"/>
      <c r="M189" s="192"/>
      <c r="N189" s="192"/>
      <c r="O189" s="192"/>
      <c r="P189" s="192"/>
      <c r="Q189" s="6"/>
    </row>
    <row r="190" spans="2:17" ht="28.2" customHeight="1">
      <c r="B190" s="4"/>
      <c r="C190" s="392" t="s">
        <v>183</v>
      </c>
      <c r="D190" s="392"/>
      <c r="E190" s="392"/>
      <c r="F190" s="392"/>
      <c r="G190" s="392"/>
      <c r="H190" s="411"/>
      <c r="I190" s="391" t="s">
        <v>184</v>
      </c>
      <c r="J190" s="392"/>
      <c r="K190" s="392"/>
      <c r="L190" s="392"/>
      <c r="M190" s="392"/>
      <c r="N190" s="391" t="s">
        <v>185</v>
      </c>
      <c r="O190" s="392"/>
      <c r="P190" s="392"/>
      <c r="Q190" s="6"/>
    </row>
    <row r="191" spans="2:17" ht="14.1" customHeight="1">
      <c r="B191" s="4"/>
      <c r="C191" s="139" t="s">
        <v>186</v>
      </c>
      <c r="D191" s="139" t="s">
        <v>187</v>
      </c>
      <c r="E191" s="400" t="s">
        <v>188</v>
      </c>
      <c r="F191" s="400"/>
      <c r="G191" s="400"/>
      <c r="H191" s="401"/>
      <c r="I191" s="139" t="s">
        <v>186</v>
      </c>
      <c r="J191" s="139" t="s">
        <v>187</v>
      </c>
      <c r="K191" s="400" t="s">
        <v>188</v>
      </c>
      <c r="L191" s="400"/>
      <c r="M191" s="401"/>
      <c r="N191" s="139" t="s">
        <v>189</v>
      </c>
      <c r="O191" s="139" t="s">
        <v>187</v>
      </c>
      <c r="P191" s="139" t="s">
        <v>188</v>
      </c>
      <c r="Q191" s="6"/>
    </row>
    <row r="192" spans="2:18" customHeight="1">
      <c r="B192" s="4"/>
      <c r="C192" s="193"/>
      <c r="D192" s="141">
        <v>3</v>
      </c>
      <c r="E192" s="139" t="s">
        <v>190</v>
      </c>
      <c r="F192" s="139"/>
      <c r="G192" s="139"/>
      <c r="H192" s="217"/>
      <c r="I192" s="194"/>
      <c r="J192" s="141">
        <v>1</v>
      </c>
      <c r="K192" s="68" t="s">
        <v>191</v>
      </c>
      <c r="L192" s="68"/>
      <c r="M192" s="399"/>
      <c r="N192" s="195"/>
      <c r="O192" s="141">
        <v>17</v>
      </c>
      <c r="P192" s="139" t="s">
        <v>192</v>
      </c>
      <c r="Q192" s="71"/>
      <c r="R192" s="69"/>
    </row>
    <row r="193" spans="2:18" ht="14.7" customHeight="1">
      <c r="B193" s="4"/>
      <c r="C193" s="196"/>
      <c r="D193" s="141">
        <v>4</v>
      </c>
      <c r="E193" s="139" t="s">
        <v>193</v>
      </c>
      <c r="F193" s="139"/>
      <c r="G193" s="139"/>
      <c r="H193" s="217"/>
      <c r="I193" s="197"/>
      <c r="J193" s="141">
        <v>2</v>
      </c>
      <c r="K193" s="68" t="s">
        <v>194</v>
      </c>
      <c r="L193" s="68"/>
      <c r="M193" s="399"/>
      <c r="N193" s="198"/>
      <c r="O193" s="141">
        <v>18</v>
      </c>
      <c r="P193" s="139" t="s">
        <v>195</v>
      </c>
      <c r="Q193" s="71"/>
      <c r="R193" s="69"/>
    </row>
    <row r="194" spans="2:18" ht="15.6" customHeight="1">
      <c r="B194" s="4"/>
      <c r="C194" s="199"/>
      <c r="D194" s="141">
        <v>5</v>
      </c>
      <c r="E194" s="139" t="s">
        <v>196</v>
      </c>
      <c r="F194" s="139"/>
      <c r="G194" s="139"/>
      <c r="H194" s="217"/>
      <c r="I194" s="200"/>
      <c r="J194" s="141">
        <v>8</v>
      </c>
      <c r="K194" s="68" t="s">
        <v>197</v>
      </c>
      <c r="L194" s="68"/>
      <c r="M194" s="399"/>
      <c r="N194" s="201"/>
      <c r="O194" s="141">
        <v>19</v>
      </c>
      <c r="P194" s="139" t="s">
        <v>198</v>
      </c>
      <c r="Q194" s="71"/>
      <c r="R194" s="69"/>
    </row>
    <row r="195" spans="2:17" ht="15.6" customHeight="1">
      <c r="B195" s="4"/>
      <c r="C195" s="202"/>
      <c r="D195" s="141">
        <v>6</v>
      </c>
      <c r="E195" s="139" t="s">
        <v>199</v>
      </c>
      <c r="F195" s="139"/>
      <c r="G195" s="139"/>
      <c r="H195" s="217"/>
      <c r="I195" s="203"/>
      <c r="J195" s="141">
        <v>9</v>
      </c>
      <c r="K195" s="68" t="s">
        <v>200</v>
      </c>
      <c r="L195" s="68"/>
      <c r="M195" s="399"/>
      <c r="N195" s="68"/>
      <c r="O195" s="68"/>
      <c r="P195" s="68"/>
      <c r="Q195" s="6"/>
    </row>
    <row r="196" spans="2:17" ht="15.6">
      <c r="B196" s="4"/>
      <c r="C196" s="204"/>
      <c r="D196" s="141">
        <v>7</v>
      </c>
      <c r="E196" s="139" t="s">
        <v>201</v>
      </c>
      <c r="F196" s="139"/>
      <c r="G196" s="139"/>
      <c r="H196" s="217"/>
      <c r="I196" s="205"/>
      <c r="J196" s="140">
        <v>15</v>
      </c>
      <c r="K196" s="49" t="s">
        <v>202</v>
      </c>
      <c r="L196" s="49"/>
      <c r="M196" s="252"/>
      <c r="N196" s="49"/>
      <c r="O196" s="49"/>
      <c r="P196" s="49"/>
      <c r="Q196" s="6"/>
    </row>
    <row r="197" spans="2:17" ht="15" customHeight="1">
      <c r="B197" s="4"/>
      <c r="C197" s="206"/>
      <c r="D197" s="141">
        <v>10</v>
      </c>
      <c r="E197" s="139" t="s">
        <v>203</v>
      </c>
      <c r="F197" s="139"/>
      <c r="G197" s="139"/>
      <c r="H197" s="217"/>
      <c r="I197" s="207"/>
      <c r="J197" s="141">
        <v>16</v>
      </c>
      <c r="K197" s="68" t="s">
        <v>204</v>
      </c>
      <c r="L197" s="68"/>
      <c r="M197" s="399"/>
      <c r="N197" s="68"/>
      <c r="O197" s="68"/>
      <c r="P197" s="68"/>
      <c r="Q197" s="6"/>
    </row>
    <row r="198" spans="2:17" ht="14.7" customHeight="1">
      <c r="B198" s="4"/>
      <c r="C198" s="208"/>
      <c r="D198" s="141">
        <v>11</v>
      </c>
      <c r="E198" s="139" t="s">
        <v>205</v>
      </c>
      <c r="F198" s="139"/>
      <c r="G198" s="139"/>
      <c r="H198" s="217"/>
      <c r="I198" s="209"/>
      <c r="J198" s="141">
        <v>20</v>
      </c>
      <c r="K198" s="139" t="s">
        <v>206</v>
      </c>
      <c r="L198" s="139"/>
      <c r="M198" s="217"/>
      <c r="N198" s="139"/>
      <c r="O198" s="139"/>
      <c r="P198" s="139"/>
      <c r="Q198" s="6"/>
    </row>
    <row r="199" spans="2:17" ht="12.6" customHeight="1">
      <c r="B199" s="4"/>
      <c r="C199" s="210"/>
      <c r="D199" s="141">
        <v>12</v>
      </c>
      <c r="E199" s="139" t="s">
        <v>207</v>
      </c>
      <c r="F199" s="139"/>
      <c r="G199" s="139"/>
      <c r="H199" s="217"/>
      <c r="I199" s="211"/>
      <c r="J199" s="141">
        <v>21</v>
      </c>
      <c r="K199" s="139" t="s">
        <v>208</v>
      </c>
      <c r="L199" s="139"/>
      <c r="M199" s="217"/>
      <c r="N199" s="139"/>
      <c r="O199" s="139"/>
      <c r="P199" s="139"/>
      <c r="Q199" s="6"/>
    </row>
    <row r="200" spans="2:17" ht="14.7" customHeight="1">
      <c r="B200" s="4"/>
      <c r="C200" s="212"/>
      <c r="D200" s="141">
        <v>13</v>
      </c>
      <c r="E200" s="139" t="s">
        <v>209</v>
      </c>
      <c r="F200" s="139"/>
      <c r="G200" s="139"/>
      <c r="H200" s="217"/>
      <c r="I200" s="213"/>
      <c r="J200" s="141">
        <v>22</v>
      </c>
      <c r="K200" s="139" t="s">
        <v>210</v>
      </c>
      <c r="L200" s="139"/>
      <c r="M200" s="217"/>
      <c r="N200" s="139"/>
      <c r="O200" s="139"/>
      <c r="P200" s="139"/>
      <c r="Q200" s="6"/>
    </row>
    <row r="201" spans="2:17" ht="13.5" customHeight="1">
      <c r="B201" s="4"/>
      <c r="C201" s="214"/>
      <c r="D201" s="141">
        <v>14</v>
      </c>
      <c r="E201" s="139" t="s">
        <v>211</v>
      </c>
      <c r="F201" s="139"/>
      <c r="G201" s="139"/>
      <c r="H201" s="217"/>
      <c r="I201" s="215"/>
      <c r="J201" s="141">
        <v>23</v>
      </c>
      <c r="K201" s="68" t="s">
        <v>212</v>
      </c>
      <c r="L201" s="68"/>
      <c r="M201" s="399"/>
      <c r="N201" s="139"/>
      <c r="O201" s="139"/>
      <c r="P201" s="139"/>
      <c r="Q201" s="6"/>
    </row>
    <row r="202" spans="2:17" ht="14.7" customHeight="1">
      <c r="B202" s="4"/>
      <c r="C202" s="139"/>
      <c r="D202" s="141"/>
      <c r="E202" s="139"/>
      <c r="F202" s="139"/>
      <c r="G202" s="139"/>
      <c r="H202" s="217"/>
      <c r="I202" s="216"/>
      <c r="J202" s="141">
        <v>24</v>
      </c>
      <c r="K202" s="139" t="s">
        <v>213</v>
      </c>
      <c r="L202" s="139"/>
      <c r="M202" s="217"/>
      <c r="N202" s="139"/>
      <c r="O202" s="139"/>
      <c r="P202" s="139"/>
      <c r="Q202" s="6"/>
    </row>
    <row r="203" spans="2:17" ht="14.7" customHeight="1">
      <c r="B203" s="4"/>
      <c r="C203" s="139"/>
      <c r="D203" s="141"/>
      <c r="E203" s="139"/>
      <c r="F203" s="139"/>
      <c r="G203" s="139"/>
      <c r="H203" s="217"/>
      <c r="I203" s="218"/>
      <c r="J203" s="141">
        <v>25</v>
      </c>
      <c r="K203" s="139" t="s">
        <v>214</v>
      </c>
      <c r="L203" s="139"/>
      <c r="M203" s="217"/>
      <c r="N203" s="139"/>
      <c r="O203" s="139"/>
      <c r="P203" s="139"/>
      <c r="Q203" s="6"/>
    </row>
    <row r="204" spans="2:17" ht="14.7" customHeight="1">
      <c r="B204" s="4"/>
      <c r="C204" s="139"/>
      <c r="D204" s="141"/>
      <c r="E204" s="139"/>
      <c r="F204" s="139"/>
      <c r="G204" s="139"/>
      <c r="H204" s="217"/>
      <c r="I204" s="219"/>
      <c r="J204" s="141">
        <v>26</v>
      </c>
      <c r="K204" s="139" t="s">
        <v>215</v>
      </c>
      <c r="L204" s="139"/>
      <c r="M204" s="217"/>
      <c r="N204" s="68"/>
      <c r="O204" s="68"/>
      <c r="P204" s="68"/>
      <c r="Q204" s="6"/>
    </row>
    <row r="205" spans="2:17" customHeight="1">
      <c r="B205" s="4"/>
      <c r="C205" s="139"/>
      <c r="D205" s="139"/>
      <c r="E205" s="139"/>
      <c r="F205" s="139"/>
      <c r="G205" s="139"/>
      <c r="H205" s="217"/>
      <c r="I205" s="220"/>
      <c r="J205" s="141">
        <v>27</v>
      </c>
      <c r="K205" s="139" t="s">
        <v>216</v>
      </c>
      <c r="L205" s="139"/>
      <c r="M205" s="217"/>
      <c r="N205" s="139"/>
      <c r="O205" s="139"/>
      <c r="P205" s="139"/>
      <c r="Q205" s="6"/>
    </row>
    <row r="206" spans="2:17" ht="13.5" customHeight="1">
      <c r="B206" s="4"/>
      <c r="C206" s="139"/>
      <c r="D206" s="139"/>
      <c r="E206" s="139"/>
      <c r="F206" s="139"/>
      <c r="G206" s="139"/>
      <c r="H206" s="139"/>
      <c r="I206" s="221"/>
      <c r="J206" s="221"/>
      <c r="K206" s="221"/>
      <c r="L206" s="221"/>
      <c r="M206" s="221"/>
      <c r="N206" s="139"/>
      <c r="O206" s="139"/>
      <c r="P206" s="139"/>
      <c r="Q206" s="6"/>
    </row>
    <row r="207" spans="2:17" ht="13.5" customHeight="1">
      <c r="B207" s="4"/>
      <c r="C207" s="221"/>
      <c r="D207" s="221"/>
      <c r="E207" s="221"/>
      <c r="F207" s="221"/>
      <c r="G207" s="221"/>
      <c r="H207" s="139"/>
      <c r="I207" s="221"/>
      <c r="J207" s="221"/>
      <c r="K207" s="221"/>
      <c r="L207" s="221"/>
      <c r="M207" s="221"/>
      <c r="N207" s="139"/>
      <c r="O207" s="139"/>
      <c r="P207" s="139"/>
      <c r="Q207" s="6"/>
    </row>
    <row r="208" spans="2:17" ht="22.2" customHeight="1">
      <c r="B208" s="4"/>
      <c r="C208" s="381" t="s">
        <v>217</v>
      </c>
      <c r="D208" s="381"/>
      <c r="E208" s="381"/>
      <c r="F208" s="381"/>
      <c r="G208" s="381"/>
      <c r="H208" s="139"/>
      <c r="I208" s="221"/>
      <c r="J208" s="221"/>
      <c r="K208" s="221"/>
      <c r="L208" s="221"/>
      <c r="M208" s="221"/>
      <c r="N208" s="139"/>
      <c r="O208" s="139"/>
      <c r="P208" s="139"/>
      <c r="Q208" s="6"/>
    </row>
    <row r="209" spans="2:17" ht="24" customHeight="1">
      <c r="B209" s="4"/>
      <c r="C209" s="406" t="s">
        <v>218</v>
      </c>
      <c r="D209" s="406"/>
      <c r="E209" s="406"/>
      <c r="F209" s="406"/>
      <c r="G209" s="406"/>
      <c r="H209" s="406"/>
      <c r="I209" s="406"/>
      <c r="J209" s="406"/>
      <c r="K209" s="406"/>
      <c r="L209" s="406"/>
      <c r="M209" s="406"/>
      <c r="N209" s="406"/>
      <c r="O209" s="406"/>
      <c r="P209" s="406"/>
      <c r="Q209" s="6"/>
    </row>
    <row r="210" spans="2:17" ht="19.5" customHeight="1">
      <c r="B210" s="4"/>
      <c r="C210" s="407" t="s">
        <v>219</v>
      </c>
      <c r="D210" s="407"/>
      <c r="E210" s="407"/>
      <c r="F210" s="407"/>
      <c r="G210" s="407"/>
      <c r="H210" s="407"/>
      <c r="I210" s="407"/>
      <c r="J210" s="407"/>
      <c r="K210" s="407"/>
      <c r="L210" s="407"/>
      <c r="M210" s="407"/>
      <c r="N210" s="407"/>
      <c r="O210" s="222"/>
      <c r="P210" s="139"/>
      <c r="Q210" s="6"/>
    </row>
    <row r="211" spans="2:17" ht="18" customHeight="1">
      <c r="B211" s="4"/>
      <c r="C211" s="408" t="s">
        <v>220</v>
      </c>
      <c r="D211" s="408"/>
      <c r="E211" s="408"/>
      <c r="F211" s="408"/>
      <c r="G211" s="408"/>
      <c r="H211" s="408"/>
      <c r="I211" s="408"/>
      <c r="J211" s="408"/>
      <c r="K211" s="408"/>
      <c r="L211" s="408"/>
      <c r="M211" s="408"/>
      <c r="N211" s="408"/>
      <c r="O211" s="222"/>
      <c r="P211" s="139"/>
      <c r="Q211" s="6"/>
    </row>
    <row r="212" spans="2:17" ht="22.2" customHeight="1">
      <c r="B212" s="4"/>
      <c r="C212" s="409" t="s">
        <v>221</v>
      </c>
      <c r="D212" s="409"/>
      <c r="E212" s="409"/>
      <c r="F212" s="409"/>
      <c r="G212" s="409"/>
      <c r="H212" s="409"/>
      <c r="I212" s="409"/>
      <c r="J212" s="409"/>
      <c r="K212" s="409"/>
      <c r="L212" s="409"/>
      <c r="M212" s="409"/>
      <c r="N212" s="409"/>
      <c r="O212" s="409"/>
      <c r="P212" s="139"/>
      <c r="Q212" s="6"/>
    </row>
    <row r="213" spans="2:17" ht="13.5" customHeight="1">
      <c r="B213" s="4"/>
      <c r="C213" s="139"/>
      <c r="D213" s="139"/>
      <c r="E213" s="139"/>
      <c r="F213" s="139"/>
      <c r="G213" s="139"/>
      <c r="H213" s="139"/>
      <c r="I213" s="221"/>
      <c r="J213" s="221"/>
      <c r="K213" s="221"/>
      <c r="L213" s="221"/>
      <c r="M213" s="221"/>
      <c r="N213" s="139"/>
      <c r="O213" s="139"/>
      <c r="P213" s="139"/>
      <c r="Q213" s="6"/>
    </row>
    <row r="214" spans="2:17" ht="21" customHeight="1">
      <c r="B214" s="4"/>
      <c r="C214" s="410" t="s">
        <v>222</v>
      </c>
      <c r="D214" s="410"/>
      <c r="E214" s="410"/>
      <c r="F214" s="410"/>
      <c r="G214" s="410"/>
      <c r="H214" s="410"/>
      <c r="I214" s="410"/>
      <c r="J214" s="410"/>
      <c r="K214" s="410"/>
      <c r="L214" s="410"/>
      <c r="M214" s="410"/>
      <c r="N214" s="410"/>
      <c r="O214" s="410"/>
      <c r="P214" s="139"/>
      <c r="Q214" s="6"/>
    </row>
    <row r="215" spans="2:17" ht="17.7" customHeight="1">
      <c r="B215" s="4"/>
      <c r="C215" s="406" t="s">
        <v>223</v>
      </c>
      <c r="D215" s="406"/>
      <c r="E215" s="406"/>
      <c r="F215" s="406"/>
      <c r="G215" s="406"/>
      <c r="H215" s="406"/>
      <c r="I215" s="406"/>
      <c r="J215" s="406"/>
      <c r="K215" s="406"/>
      <c r="L215" s="406"/>
      <c r="M215" s="406"/>
      <c r="N215" s="223"/>
      <c r="O215" s="222"/>
      <c r="P215" s="139"/>
      <c r="Q215" s="6"/>
    </row>
    <row r="216" spans="2:17" ht="18" customHeight="1">
      <c r="B216" s="4"/>
      <c r="C216" s="405" t="s">
        <v>224</v>
      </c>
      <c r="D216" s="405"/>
      <c r="E216" s="405"/>
      <c r="F216" s="405"/>
      <c r="G216" s="405"/>
      <c r="H216" s="405"/>
      <c r="I216" s="405"/>
      <c r="J216" s="405"/>
      <c r="K216" s="405"/>
      <c r="L216" s="405"/>
      <c r="M216" s="405"/>
      <c r="N216" s="405"/>
      <c r="O216" s="222"/>
      <c r="P216" s="139"/>
      <c r="Q216" s="6"/>
    </row>
    <row r="217" spans="2:17" ht="13.5" customHeight="1">
      <c r="B217" s="4"/>
      <c r="C217" s="408" t="s">
        <v>225</v>
      </c>
      <c r="D217" s="408"/>
      <c r="E217" s="408"/>
      <c r="F217" s="408"/>
      <c r="G217" s="408"/>
      <c r="H217" s="408"/>
      <c r="I217" s="408"/>
      <c r="J217" s="408"/>
      <c r="K217" s="408"/>
      <c r="L217" s="408"/>
      <c r="M217" s="408"/>
      <c r="N217" s="408"/>
      <c r="O217" s="222"/>
      <c r="P217" s="139"/>
      <c r="Q217" s="6"/>
    </row>
    <row r="218" spans="2:17" ht="16.5" customHeight="1">
      <c r="B218" s="4"/>
      <c r="C218" s="405" t="s">
        <v>226</v>
      </c>
      <c r="D218" s="405"/>
      <c r="E218" s="405"/>
      <c r="F218" s="405"/>
      <c r="G218" s="405"/>
      <c r="H218" s="405"/>
      <c r="I218" s="405"/>
      <c r="J218" s="405"/>
      <c r="K218" s="405"/>
      <c r="L218" s="405"/>
      <c r="M218" s="405"/>
      <c r="N218" s="405"/>
      <c r="O218" s="222"/>
      <c r="P218" s="139"/>
      <c r="Q218" s="6"/>
    </row>
    <row r="219" spans="2:17" ht="13.5" customHeight="1">
      <c r="B219" s="4"/>
      <c r="C219" s="139"/>
      <c r="D219" s="139"/>
      <c r="E219" s="139"/>
      <c r="F219" s="139"/>
      <c r="G219" s="139"/>
      <c r="H219" s="139"/>
      <c r="I219" s="221"/>
      <c r="J219" s="221"/>
      <c r="K219" s="221"/>
      <c r="L219" s="221"/>
      <c r="M219" s="221"/>
      <c r="N219" s="139"/>
      <c r="O219" s="139"/>
      <c r="P219" s="139"/>
      <c r="Q219" s="6"/>
    </row>
    <row r="220" spans="2:17" ht="13.5" customHeight="1">
      <c r="B220" s="4"/>
      <c r="C220" s="139"/>
      <c r="D220" s="139"/>
      <c r="E220" s="139"/>
      <c r="F220" s="139"/>
      <c r="G220" s="139"/>
      <c r="H220" s="139"/>
      <c r="I220" s="221"/>
      <c r="J220" s="221"/>
      <c r="K220" s="221"/>
      <c r="L220" s="221"/>
      <c r="M220" s="221"/>
      <c r="N220" s="139"/>
      <c r="O220" s="139"/>
      <c r="P220" s="139"/>
      <c r="Q220" s="6"/>
    </row>
    <row r="221" spans="2:17" ht="5.25" customHeight="1">
      <c r="B221" s="4"/>
      <c r="C221" s="139"/>
      <c r="D221" s="139"/>
      <c r="E221" s="139"/>
      <c r="F221" s="139"/>
      <c r="G221" s="139"/>
      <c r="H221" s="139"/>
      <c r="I221" s="139"/>
      <c r="J221" s="141"/>
      <c r="K221" s="139"/>
      <c r="L221" s="139"/>
      <c r="M221" s="139"/>
      <c r="N221" s="139"/>
      <c r="O221" s="139"/>
      <c r="P221" s="139"/>
      <c r="Q221" s="6"/>
    </row>
    <row r="222" spans="2:17" ht="5.25" customHeight="1">
      <c r="B222" s="4"/>
      <c r="C222" s="49"/>
      <c r="D222" s="49"/>
      <c r="E222" s="49"/>
      <c r="F222" s="49"/>
      <c r="G222" s="49"/>
      <c r="H222" s="49"/>
      <c r="I222" s="49"/>
      <c r="J222" s="49"/>
      <c r="K222" s="49"/>
      <c r="L222" s="49"/>
      <c r="M222" s="49"/>
      <c r="N222" s="49"/>
      <c r="O222" s="49"/>
      <c r="P222" s="49"/>
      <c r="Q222" s="6"/>
    </row>
    <row r="223" spans="2:17" ht="82.5" customHeight="1">
      <c r="B223" s="4"/>
      <c r="C223" s="224"/>
      <c r="D223" s="68"/>
      <c r="E223" s="68"/>
      <c r="F223" s="68"/>
      <c r="G223" s="68"/>
      <c r="H223" s="141" t="s">
        <v>227</v>
      </c>
      <c r="I223" s="141"/>
      <c r="J223" s="141"/>
      <c r="K223" s="141"/>
      <c r="L223" s="141"/>
      <c r="M223" s="141"/>
      <c r="N223" s="141"/>
      <c r="O223" s="141"/>
      <c r="P223" s="141"/>
      <c r="Q223" s="6"/>
    </row>
    <row r="224" spans="2:17" ht="4.5" customHeight="1">
      <c r="B224" s="4"/>
      <c r="C224" s="12"/>
      <c r="D224" s="12"/>
      <c r="E224" s="12"/>
      <c r="F224" s="12"/>
      <c r="G224" s="12"/>
      <c r="H224" s="12"/>
      <c r="I224" s="12"/>
      <c r="J224" s="12"/>
      <c r="K224" s="12"/>
      <c r="L224" s="12"/>
      <c r="M224" s="12"/>
      <c r="N224" s="12"/>
      <c r="O224" s="12"/>
      <c r="P224" s="12"/>
      <c r="Q224" s="6"/>
    </row>
    <row r="225" spans="2:17" ht="5.25" customHeight="1">
      <c r="B225" s="4"/>
      <c r="C225" s="12"/>
      <c r="D225" s="12"/>
      <c r="E225" s="12"/>
      <c r="F225" s="12"/>
      <c r="G225" s="12"/>
      <c r="H225" s="12"/>
      <c r="I225" s="12"/>
      <c r="J225" s="12"/>
      <c r="K225" s="12"/>
      <c r="L225" s="12"/>
      <c r="M225" s="12"/>
      <c r="N225" s="12"/>
      <c r="O225" s="12"/>
      <c r="P225" s="12"/>
      <c r="Q225" s="6"/>
    </row>
    <row r="226" spans="2:17" ht="3.75" customHeight="1" thickBot="1">
      <c r="B226" s="7"/>
      <c r="C226" s="8"/>
      <c r="D226" s="8"/>
      <c r="E226" s="8"/>
      <c r="F226" s="8"/>
      <c r="G226" s="8"/>
      <c r="H226" s="8"/>
      <c r="I226" s="8"/>
      <c r="J226" s="8"/>
      <c r="K226" s="8"/>
      <c r="L226" s="8"/>
      <c r="M226" s="8"/>
      <c r="N226" s="8"/>
      <c r="O226" s="8"/>
      <c r="P226" s="8"/>
      <c r="Q226" s="9"/>
    </row>
  </sheetData>
  <mergeCells count="218">
    <mergeCell ref="C54:F54"/>
    <mergeCell ref="C57:F57"/>
    <mergeCell ref="C59:P59"/>
    <mergeCell ref="C61:F61"/>
    <mergeCell ref="E201:H201"/>
    <mergeCell ref="C10:P10"/>
    <mergeCell ref="G86:P86"/>
    <mergeCell ref="C216:N216"/>
    <mergeCell ref="C217:N217"/>
    <mergeCell ref="C65:E65"/>
    <mergeCell ref="C63:P63"/>
    <mergeCell ref="G70:P70"/>
    <mergeCell ref="G71:P71"/>
    <mergeCell ref="G72:P72"/>
    <mergeCell ref="G73:P73"/>
    <mergeCell ref="C70:F70"/>
    <mergeCell ref="C71:F71"/>
    <mergeCell ref="C72:F72"/>
    <mergeCell ref="C73:F73"/>
    <mergeCell ref="C132:F132"/>
    <mergeCell ref="C133:F133"/>
    <mergeCell ref="C134:F134"/>
    <mergeCell ref="C135:F135"/>
    <mergeCell ref="C123:F123"/>
    <mergeCell ref="C218:N218"/>
    <mergeCell ref="C215:M215"/>
    <mergeCell ref="C87:F87"/>
    <mergeCell ref="C208:G208"/>
    <mergeCell ref="C210:N210"/>
    <mergeCell ref="C211:N211"/>
    <mergeCell ref="C209:P209"/>
    <mergeCell ref="C212:O212"/>
    <mergeCell ref="C214:O214"/>
    <mergeCell ref="K192:M192"/>
    <mergeCell ref="E192:H192"/>
    <mergeCell ref="E194:H194"/>
    <mergeCell ref="C190:H190"/>
    <mergeCell ref="K204:M204"/>
    <mergeCell ref="K205:M205"/>
    <mergeCell ref="K202:M202"/>
    <mergeCell ref="K203:M203"/>
    <mergeCell ref="E197:H197"/>
    <mergeCell ref="E198:H198"/>
    <mergeCell ref="E199:H199"/>
    <mergeCell ref="E200:H200"/>
    <mergeCell ref="C102:F102"/>
    <mergeCell ref="C130:F130"/>
    <mergeCell ref="C131:F131"/>
    <mergeCell ref="C125:F125"/>
    <mergeCell ref="C118:F118"/>
    <mergeCell ref="C148:F148"/>
    <mergeCell ref="C163:F163"/>
    <mergeCell ref="C137:F137"/>
    <mergeCell ref="C138:F138"/>
    <mergeCell ref="C128:F128"/>
    <mergeCell ref="C129:F129"/>
    <mergeCell ref="C162:F162"/>
    <mergeCell ref="C145:F145"/>
    <mergeCell ref="C146:F146"/>
    <mergeCell ref="C147:F147"/>
    <mergeCell ref="C177:F177"/>
    <mergeCell ref="C176:F176"/>
    <mergeCell ref="K201:M201"/>
    <mergeCell ref="E202:H202"/>
    <mergeCell ref="K197:M197"/>
    <mergeCell ref="K198:M198"/>
    <mergeCell ref="K200:M200"/>
    <mergeCell ref="K196:M196"/>
    <mergeCell ref="K195:M195"/>
    <mergeCell ref="K199:M199"/>
    <mergeCell ref="E196:H196"/>
    <mergeCell ref="E191:H191"/>
    <mergeCell ref="K193:M193"/>
    <mergeCell ref="K194:M194"/>
    <mergeCell ref="E193:H193"/>
    <mergeCell ref="C181:H181"/>
    <mergeCell ref="E195:H195"/>
    <mergeCell ref="K191:M191"/>
    <mergeCell ref="C182:E182"/>
    <mergeCell ref="C184:P184"/>
    <mergeCell ref="C186:P186"/>
    <mergeCell ref="C185:P185"/>
    <mergeCell ref="C187:P187"/>
    <mergeCell ref="N190:P190"/>
    <mergeCell ref="C7:D7"/>
    <mergeCell ref="C27:D27"/>
    <mergeCell ref="C35:D35"/>
    <mergeCell ref="C38:D38"/>
    <mergeCell ref="E31:L31"/>
    <mergeCell ref="E32:L32"/>
    <mergeCell ref="C29:L29"/>
    <mergeCell ref="C21:M21"/>
    <mergeCell ref="C24:M24"/>
    <mergeCell ref="C25:M25"/>
    <mergeCell ref="C20:P20"/>
    <mergeCell ref="C22:P22"/>
    <mergeCell ref="C23:P23"/>
    <mergeCell ref="C16:P17"/>
    <mergeCell ref="C68:F68"/>
    <mergeCell ref="C75:F75"/>
    <mergeCell ref="C78:F78"/>
    <mergeCell ref="C74:F74"/>
    <mergeCell ref="C168:F168"/>
    <mergeCell ref="C169:F169"/>
    <mergeCell ref="C170:F170"/>
    <mergeCell ref="C150:F150"/>
    <mergeCell ref="C151:F151"/>
    <mergeCell ref="C152:F152"/>
    <mergeCell ref="C153:F153"/>
    <mergeCell ref="C154:F154"/>
    <mergeCell ref="C155:F155"/>
    <mergeCell ref="C156:F156"/>
    <mergeCell ref="C157:F157"/>
    <mergeCell ref="C158:F158"/>
    <mergeCell ref="C164:F164"/>
    <mergeCell ref="C84:F84"/>
    <mergeCell ref="C143:F143"/>
    <mergeCell ref="C144:F144"/>
    <mergeCell ref="C159:F159"/>
    <mergeCell ref="C160:F160"/>
    <mergeCell ref="C161:F161"/>
    <mergeCell ref="C124:F124"/>
    <mergeCell ref="C183:P183"/>
    <mergeCell ref="C175:F175"/>
    <mergeCell ref="C171:F171"/>
    <mergeCell ref="C172:F172"/>
    <mergeCell ref="I190:M190"/>
    <mergeCell ref="C173:F173"/>
    <mergeCell ref="C174:F174"/>
    <mergeCell ref="C179:F179"/>
    <mergeCell ref="C8:P8"/>
    <mergeCell ref="C12:P13"/>
    <mergeCell ref="C14:P14"/>
    <mergeCell ref="C15:P15"/>
    <mergeCell ref="C37:P37"/>
    <mergeCell ref="C40:P40"/>
    <mergeCell ref="C44:P44"/>
    <mergeCell ref="C48:P48"/>
    <mergeCell ref="C52:P52"/>
    <mergeCell ref="C42:D42"/>
    <mergeCell ref="C46:D46"/>
    <mergeCell ref="C9:P9"/>
    <mergeCell ref="C11:P11"/>
    <mergeCell ref="E33:M33"/>
    <mergeCell ref="C50:F50"/>
    <mergeCell ref="G87:P87"/>
    <mergeCell ref="C56:P56"/>
    <mergeCell ref="G69:P69"/>
    <mergeCell ref="G74:P74"/>
    <mergeCell ref="G88:P88"/>
    <mergeCell ref="C98:F98"/>
    <mergeCell ref="C99:F99"/>
    <mergeCell ref="C100:F100"/>
    <mergeCell ref="C101:F101"/>
    <mergeCell ref="C89:F89"/>
    <mergeCell ref="C82:F82"/>
    <mergeCell ref="C92:J92"/>
    <mergeCell ref="C97:F97"/>
    <mergeCell ref="C77:F77"/>
    <mergeCell ref="C69:F69"/>
    <mergeCell ref="C91:F91"/>
    <mergeCell ref="C88:F88"/>
    <mergeCell ref="C85:F85"/>
    <mergeCell ref="C86:F86"/>
    <mergeCell ref="C76:F76"/>
    <mergeCell ref="C79:F79"/>
    <mergeCell ref="C80:F80"/>
    <mergeCell ref="C81:F81"/>
    <mergeCell ref="C83:F83"/>
    <mergeCell ref="C66:M66"/>
    <mergeCell ref="C103:F103"/>
    <mergeCell ref="G89:P89"/>
    <mergeCell ref="G68:P68"/>
    <mergeCell ref="C104:F104"/>
    <mergeCell ref="H223:P223"/>
    <mergeCell ref="C93:P95"/>
    <mergeCell ref="G75:P75"/>
    <mergeCell ref="G76:P76"/>
    <mergeCell ref="G77:P77"/>
    <mergeCell ref="G78:P78"/>
    <mergeCell ref="G79:P79"/>
    <mergeCell ref="G80:P80"/>
    <mergeCell ref="G81:P81"/>
    <mergeCell ref="G82:P82"/>
    <mergeCell ref="G83:P83"/>
    <mergeCell ref="G84:P84"/>
    <mergeCell ref="G85:P85"/>
    <mergeCell ref="C136:F136"/>
    <mergeCell ref="C140:F140"/>
    <mergeCell ref="C141:F141"/>
    <mergeCell ref="C142:F142"/>
    <mergeCell ref="C126:F126"/>
    <mergeCell ref="C127:F127"/>
    <mergeCell ref="C139:F139"/>
    <mergeCell ref="C188:P188"/>
    <mergeCell ref="C178:F178"/>
    <mergeCell ref="C105:F105"/>
    <mergeCell ref="C106:F106"/>
    <mergeCell ref="C165:F165"/>
    <mergeCell ref="C166:F166"/>
    <mergeCell ref="C167:F167"/>
    <mergeCell ref="C107:F107"/>
    <mergeCell ref="C108:F108"/>
    <mergeCell ref="C109:F109"/>
    <mergeCell ref="C110:F110"/>
    <mergeCell ref="C111:F111"/>
    <mergeCell ref="C112:F112"/>
    <mergeCell ref="C113:F113"/>
    <mergeCell ref="C114:F114"/>
    <mergeCell ref="C115:F115"/>
    <mergeCell ref="C119:F119"/>
    <mergeCell ref="C120:F120"/>
    <mergeCell ref="C121:F121"/>
    <mergeCell ref="C122:F122"/>
    <mergeCell ref="C180:F180"/>
    <mergeCell ref="C149:F149"/>
    <mergeCell ref="C116:F116"/>
    <mergeCell ref="C117:F117"/>
  </mergeCells>
  <hyperlinks>
    <hyperlink ref="C40:M40" r:id="rId1" display="This stage calculates the nutrient load from the current land use.&#10;&#10;Step 1: The user should select the appropriate catchment, drainage type, rainfall band and NVZ.&#10;&#10;Step 2: The user should input the area (hectares) of the current land uses that make up the total area of the development site. A GIS viewer can be used to identify the land uses on a coarse scale (https://gridreferencefinder.com/). However, if more detail is known about the site land uses then this should be manually inputted by the user."/>
    <hyperlink ref="C209:P209" r:id="rId2" display="a) Go to this link:  https://environment.data.gov.uk/catchment-planning/ManagementCatchment/3008"/>
    <hyperlink ref="C215:M215" r:id="rId3" display="a) Go to this link: https://mapapps2.bgs.ac.uk/ukso/home.html?layers=NVZEng"/>
    <hyperlink ref="C184:P184" r:id="rId4" display="a) The user should use the Soilscapes tool (Cranfield soil and Agrifood institute, 2020) to determine the dominant soil type on their site. Soilscapes can be found at http://www.landis.org.uk/soilscapes/index.cfm"/>
  </hyperlinks>
  <pageMargins left="0.7" right="0.7" top="0.75" bottom="0.75" header="0.3" footer="0.3"/>
  <pageSetup paperSize="9" scale="55" fitToWidth="0" fitToHeight="0" orientation="portrait" horizontalDpi="360" verticalDpi="360"/>
  <headerFooter scaleWithDoc="1" alignWithMargins="0" differentFirst="0" differentOddEven="0"/>
  <rowBreaks count="1" manualBreakCount="1">
    <brk id="49" max="16383" man="1"/>
  </rowBreaks>
  <colBreaks count="1" manualBreakCount="1">
    <brk id="1" max="65535" man="1"/>
  </colBreaks>
  <customProperties>
    <customPr name="SSC_SHEET_GUID" r:id="rId6"/>
  </customProperties>
  <drawing r:id="rId7"/>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S17"/>
  <sheetViews>
    <sheetView zoomScale="115" view="normal" workbookViewId="0">
      <selection pane="topLeft" activeCell="F4" sqref="F4"/>
    </sheetView>
  </sheetViews>
  <sheetFormatPr defaultRowHeight="13.2"/>
  <cols>
    <col min="2" max="3" width="0.70703125" customWidth="1"/>
    <col min="4" max="4" width="2.27734375" customWidth="1"/>
    <col min="5" max="5" width="13.27734375" customWidth="1"/>
    <col min="6" max="6" width="8.27734375" customWidth="1"/>
    <col min="10" max="10" width="11.27734375" customWidth="1"/>
    <col min="11" max="11" width="18.27734375" customWidth="1"/>
    <col min="12" max="12" width="6.7109375" customWidth="1"/>
    <col min="13" max="13" width="16.27734375" customWidth="1"/>
    <col min="14" max="14" width="6.41796875" customWidth="1"/>
    <col min="15" max="15" width="14.27734375" customWidth="1"/>
    <col min="16" max="16" width="5.7109375" customWidth="1"/>
    <col min="18" max="18" width="4.27734375" customWidth="1"/>
    <col min="19" max="19" width="0.70703125" customWidth="1"/>
  </cols>
  <sheetData>
    <row r="1" spans="1:1" ht="14.4" thickBot="1">
      <c r="A1" s="40" t="s">
        <v>37</v>
      </c>
    </row>
    <row r="2" spans="2:19" ht="15.6">
      <c r="B2" s="43"/>
      <c r="C2" s="324"/>
      <c r="D2" s="324"/>
      <c r="E2" s="324"/>
      <c r="F2" s="324"/>
      <c r="G2" s="324"/>
      <c r="H2" s="324"/>
      <c r="I2" s="324"/>
      <c r="J2" s="324"/>
      <c r="K2" s="324"/>
      <c r="L2" s="324"/>
      <c r="M2" s="324"/>
      <c r="N2" s="324"/>
      <c r="O2" s="324"/>
      <c r="P2" s="324"/>
      <c r="Q2" s="324"/>
      <c r="R2" s="324"/>
      <c r="S2" s="3"/>
    </row>
    <row r="3" spans="2:19" ht="37.5" customHeight="1">
      <c r="B3" s="46"/>
      <c r="C3" s="66"/>
      <c r="D3" s="68"/>
      <c r="E3" s="192" t="s">
        <v>37</v>
      </c>
      <c r="F3" s="229" t="s">
        <v>437</v>
      </c>
      <c r="G3" s="229"/>
      <c r="H3" s="229"/>
      <c r="I3" s="229"/>
      <c r="J3" s="229"/>
      <c r="K3" s="229"/>
      <c r="L3" s="229"/>
      <c r="M3" s="229"/>
      <c r="N3" s="229"/>
      <c r="O3" s="229"/>
      <c r="P3" s="229"/>
      <c r="Q3" s="229"/>
      <c r="R3" s="229"/>
      <c r="S3" s="6"/>
    </row>
    <row r="4" spans="2:19" ht="15.6">
      <c r="B4" s="46"/>
      <c r="C4" s="141"/>
      <c r="D4" s="141"/>
      <c r="E4" s="248"/>
      <c r="F4" s="248"/>
      <c r="G4" s="248"/>
      <c r="H4" s="248"/>
      <c r="I4" s="248"/>
      <c r="J4" s="248"/>
      <c r="K4" s="248"/>
      <c r="L4" s="248"/>
      <c r="M4" s="248"/>
      <c r="N4" s="248"/>
      <c r="O4" s="248"/>
      <c r="P4" s="248"/>
      <c r="Q4" s="248"/>
      <c r="R4" s="248"/>
      <c r="S4" s="6"/>
    </row>
    <row r="5" spans="2:19" ht="15.6" customHeight="1">
      <c r="B5" s="46"/>
      <c r="C5" s="141"/>
      <c r="D5" s="141"/>
      <c r="E5" s="48" t="s">
        <v>238</v>
      </c>
      <c r="F5" s="139" t="s">
        <v>438</v>
      </c>
      <c r="G5" s="139"/>
      <c r="H5" s="139"/>
      <c r="I5" s="139"/>
      <c r="J5" s="139"/>
      <c r="K5" s="68" t="s">
        <v>439</v>
      </c>
      <c r="L5" s="68"/>
      <c r="M5" s="68" t="s">
        <v>440</v>
      </c>
      <c r="N5" s="68"/>
      <c r="O5" s="68" t="s">
        <v>441</v>
      </c>
      <c r="P5" s="248"/>
      <c r="Q5" s="248"/>
      <c r="R5" s="248"/>
      <c r="S5" s="6"/>
    </row>
    <row r="6" spans="2:19" ht="26.7" customHeight="1">
      <c r="B6" s="46"/>
      <c r="C6" s="49"/>
      <c r="D6" s="49"/>
      <c r="E6" s="248"/>
      <c r="F6" s="248"/>
      <c r="G6" s="248"/>
      <c r="H6" s="248"/>
      <c r="I6" s="248"/>
      <c r="J6" s="248"/>
      <c r="K6" s="141" t="s">
        <v>240</v>
      </c>
      <c r="L6" s="141"/>
      <c r="M6" s="141" t="s">
        <v>240</v>
      </c>
      <c r="N6" s="307"/>
      <c r="O6" s="141" t="s">
        <v>240</v>
      </c>
      <c r="P6" s="141"/>
      <c r="Q6" s="141" t="s">
        <v>442</v>
      </c>
      <c r="R6" s="248"/>
      <c r="S6" s="6"/>
    </row>
    <row r="7" spans="2:19" ht="15.6">
      <c r="B7" s="46"/>
      <c r="C7" s="49"/>
      <c r="D7" s="49"/>
      <c r="E7" s="232"/>
      <c r="F7" s="140" t="s">
        <v>420</v>
      </c>
      <c r="G7" s="140"/>
      <c r="H7" s="140"/>
      <c r="I7" s="140"/>
      <c r="J7" s="140"/>
      <c r="K7" s="325">
        <f>IF('Mitigation - current'!K67&gt;0,'Mitigation - current'!P67,'Mitigation - current'!K80)</f>
        <v>0</v>
      </c>
      <c r="L7" s="232"/>
      <c r="M7" s="325">
        <f>IF('Mitigation - post 2030'!K67&gt;0,'Mitigation - post 2030'!P67,'Mitigation - post 2030'!K80)</f>
        <v>0</v>
      </c>
      <c r="N7" s="232"/>
      <c r="O7" s="325">
        <f>M7-K7</f>
        <v>0</v>
      </c>
      <c r="P7" s="232"/>
      <c r="Q7" s="235" t="s">
        <v>323</v>
      </c>
      <c r="R7" s="232"/>
      <c r="S7" s="6"/>
    </row>
    <row r="8" spans="2:19" ht="15.6">
      <c r="B8" s="46"/>
      <c r="C8" s="49"/>
      <c r="D8" s="49"/>
      <c r="E8" s="48"/>
      <c r="F8" s="140" t="s">
        <v>443</v>
      </c>
      <c r="G8" s="140"/>
      <c r="H8" s="140"/>
      <c r="I8" s="140"/>
      <c r="J8" s="140"/>
      <c r="K8" s="325">
        <f>IF('Mitigation - current'!K68&gt;0,'Mitigation - current'!P68,'Mitigation - current'!K81)</f>
        <v>0</v>
      </c>
      <c r="L8" s="140"/>
      <c r="M8" s="325">
        <f>IF('Mitigation - post 2030'!K68&gt;0,'Mitigation - post 2030'!P68,'Mitigation - post 2030'!K81)</f>
        <v>0</v>
      </c>
      <c r="N8" s="140"/>
      <c r="O8" s="325">
        <f>M8-K8</f>
        <v>0</v>
      </c>
      <c r="P8" s="49"/>
      <c r="Q8" s="235" t="s">
        <v>323</v>
      </c>
      <c r="R8" s="49"/>
      <c r="S8" s="6"/>
    </row>
    <row r="9" spans="2:19" ht="15.6">
      <c r="B9" s="46"/>
      <c r="C9" s="49"/>
      <c r="D9" s="49"/>
      <c r="E9" s="49"/>
      <c r="F9" s="140" t="s">
        <v>444</v>
      </c>
      <c r="G9" s="140"/>
      <c r="H9" s="140"/>
      <c r="I9" s="140"/>
      <c r="J9" s="140"/>
      <c r="K9" s="325">
        <f>IF('Mitigation - current'!K69&gt;0,'Mitigation - current'!P69,'Mitigation - current'!K82)</f>
        <v>0</v>
      </c>
      <c r="L9" s="241"/>
      <c r="M9" s="325">
        <f>IF('Mitigation - post 2030'!K69&gt;0,'Mitigation - post 2030'!P69,'Mitigation - post 2030'!K82)</f>
        <v>0</v>
      </c>
      <c r="N9" s="241"/>
      <c r="O9" s="325">
        <f>M9-K9</f>
        <v>0</v>
      </c>
      <c r="P9" s="49"/>
      <c r="Q9" s="235" t="s">
        <v>323</v>
      </c>
      <c r="R9" s="49"/>
      <c r="S9" s="6"/>
    </row>
    <row r="10" spans="2:19" ht="15.6">
      <c r="B10" s="46"/>
      <c r="C10" s="49"/>
      <c r="D10" s="49"/>
      <c r="E10" s="49"/>
      <c r="F10" s="140" t="s">
        <v>75</v>
      </c>
      <c r="G10" s="140"/>
      <c r="H10" s="140"/>
      <c r="I10" s="140"/>
      <c r="J10" s="140"/>
      <c r="K10" s="325">
        <f>IF('Mitigation - current'!K70&gt;0,'Mitigation - current'!P70,'Mitigation - current'!K83)</f>
        <v>0</v>
      </c>
      <c r="L10" s="49"/>
      <c r="M10" s="325">
        <f>IF('Mitigation - post 2030'!K70&gt;0,'Mitigation - post 2030'!P70,'Mitigation - post 2030'!K83)</f>
        <v>0</v>
      </c>
      <c r="N10" s="49"/>
      <c r="O10" s="325">
        <f>M10-K10</f>
        <v>0</v>
      </c>
      <c r="P10" s="49"/>
      <c r="Q10" s="235" t="s">
        <v>323</v>
      </c>
      <c r="R10" s="49"/>
      <c r="S10" s="6"/>
    </row>
    <row r="11" spans="2:19" ht="15.6">
      <c r="B11" s="46"/>
      <c r="C11" s="49"/>
      <c r="D11" s="49"/>
      <c r="E11" s="49"/>
      <c r="F11" s="140" t="s">
        <v>422</v>
      </c>
      <c r="G11" s="140"/>
      <c r="H11" s="140"/>
      <c r="I11" s="140"/>
      <c r="J11" s="140"/>
      <c r="K11" s="325">
        <f>IF('Mitigation - current'!K71&gt;0,'Mitigation - current'!P71,'Mitigation - current'!K84)</f>
        <v>0</v>
      </c>
      <c r="L11" s="49"/>
      <c r="M11" s="325">
        <f>IF('Mitigation - post 2030'!K71&gt;0,'Mitigation - post 2030'!P71,'Mitigation - post 2030'!K84)</f>
        <v>0</v>
      </c>
      <c r="N11" s="49"/>
      <c r="O11" s="325">
        <f>M11-K11</f>
        <v>0</v>
      </c>
      <c r="P11" s="49"/>
      <c r="Q11" s="235" t="s">
        <v>323</v>
      </c>
      <c r="R11" s="49"/>
      <c r="S11" s="6"/>
    </row>
    <row r="12" spans="2:19" ht="15.6">
      <c r="B12" s="46"/>
      <c r="C12" s="49"/>
      <c r="D12" s="49"/>
      <c r="E12" s="49"/>
      <c r="F12" s="140" t="s">
        <v>445</v>
      </c>
      <c r="G12" s="140"/>
      <c r="H12" s="140"/>
      <c r="I12" s="140"/>
      <c r="J12" s="140"/>
      <c r="K12" s="325">
        <f>IF('Mitigation - current'!K72&gt;0,'Mitigation - current'!P72,'Mitigation - current'!K85)</f>
        <v>0</v>
      </c>
      <c r="L12" s="49"/>
      <c r="M12" s="325">
        <f>IF('Mitigation - post 2030'!K72&gt;0,'Mitigation - post 2030'!P72,'Mitigation - post 2030'!K85)</f>
        <v>0</v>
      </c>
      <c r="N12" s="49"/>
      <c r="O12" s="325">
        <f>M12-K12</f>
        <v>0</v>
      </c>
      <c r="P12" s="49"/>
      <c r="Q12" s="235" t="s">
        <v>323</v>
      </c>
      <c r="R12" s="49"/>
      <c r="S12" s="6"/>
    </row>
    <row r="13" spans="2:19" ht="15.6">
      <c r="B13" s="46"/>
      <c r="C13" s="49"/>
      <c r="D13" s="49"/>
      <c r="E13" s="49"/>
      <c r="F13" s="49"/>
      <c r="G13" s="49"/>
      <c r="H13" s="49"/>
      <c r="I13" s="49"/>
      <c r="J13" s="49"/>
      <c r="K13" s="140"/>
      <c r="L13" s="49"/>
      <c r="M13" s="140"/>
      <c r="N13" s="49"/>
      <c r="O13" s="140"/>
      <c r="P13" s="49"/>
      <c r="Q13" s="235"/>
      <c r="R13" s="49"/>
      <c r="S13" s="6"/>
    </row>
    <row r="14" spans="2:19" ht="15.6">
      <c r="B14" s="46"/>
      <c r="C14" s="49"/>
      <c r="D14" s="49"/>
      <c r="E14" s="48"/>
      <c r="F14" s="142" t="s">
        <v>428</v>
      </c>
      <c r="G14" s="49"/>
      <c r="H14" s="49"/>
      <c r="I14" s="49"/>
      <c r="J14" s="49"/>
      <c r="K14" s="284">
        <f>SUM(K7:K12)</f>
        <v>0</v>
      </c>
      <c r="L14" s="140"/>
      <c r="M14" s="284">
        <f>SUM(M7:M12)</f>
        <v>0</v>
      </c>
      <c r="N14" s="49"/>
      <c r="O14" s="284">
        <f>SUM(O7:O12)</f>
        <v>0</v>
      </c>
      <c r="P14" s="49"/>
      <c r="Q14" s="241" t="s">
        <v>323</v>
      </c>
      <c r="R14" s="49"/>
      <c r="S14" s="6"/>
    </row>
    <row r="15" spans="2:19" ht="15.6">
      <c r="B15" s="46"/>
      <c r="C15" s="49"/>
      <c r="D15" s="49"/>
      <c r="E15" s="49"/>
      <c r="F15" s="49"/>
      <c r="G15" s="49"/>
      <c r="H15" s="49"/>
      <c r="I15" s="49"/>
      <c r="J15" s="49"/>
      <c r="K15" s="49"/>
      <c r="L15" s="49"/>
      <c r="M15" s="49"/>
      <c r="N15" s="49"/>
      <c r="O15" s="49"/>
      <c r="P15" s="49"/>
      <c r="Q15" s="49"/>
      <c r="R15" s="49"/>
      <c r="S15" s="6"/>
    </row>
    <row r="16" spans="2:19" ht="12.6" customHeight="1">
      <c r="B16" s="46"/>
      <c r="C16" s="49"/>
      <c r="D16" s="49"/>
      <c r="E16" s="232" t="s">
        <v>446</v>
      </c>
      <c r="F16" s="232"/>
      <c r="G16" s="232"/>
      <c r="H16" s="232"/>
      <c r="I16" s="232"/>
      <c r="J16" s="232"/>
      <c r="K16" s="232"/>
      <c r="L16" s="232"/>
      <c r="M16" s="232"/>
      <c r="N16" s="232"/>
      <c r="O16" s="232"/>
      <c r="P16" s="232"/>
      <c r="Q16" s="232"/>
      <c r="R16" s="49"/>
      <c r="S16" s="6"/>
    </row>
    <row r="17" spans="2:19" ht="23.1" customHeight="1" thickBot="1">
      <c r="B17" s="50"/>
      <c r="C17" s="311"/>
      <c r="D17" s="311"/>
      <c r="E17" s="326"/>
      <c r="F17" s="326"/>
      <c r="G17" s="326"/>
      <c r="H17" s="326"/>
      <c r="I17" s="326"/>
      <c r="J17" s="326"/>
      <c r="K17" s="326"/>
      <c r="L17" s="326"/>
      <c r="M17" s="326"/>
      <c r="N17" s="326"/>
      <c r="O17" s="326"/>
      <c r="P17" s="326"/>
      <c r="Q17" s="326"/>
      <c r="R17" s="326"/>
      <c r="S17" s="18"/>
    </row>
  </sheetData>
  <sheetProtection algorithmName="SHA-512" hashValue="zJdDh/Va4DTZtWO5EgZq3NcOBFTX/iTFGkNHcFJpErZ6uCLG1cmEOvkq5XXmZGafTmEFoyCCktPS5+ASRLlEWA==" saltValue="FFvUHRtIpT8W6QnV2k4Ehw==" spinCount="100000" sheet="1" selectLockedCells="1"/>
  <mergeCells count="9">
    <mergeCell ref="F3:P3"/>
    <mergeCell ref="E16:Q17"/>
    <mergeCell ref="F5:J5"/>
    <mergeCell ref="F7:J7"/>
    <mergeCell ref="F8:J8"/>
    <mergeCell ref="F9:J9"/>
    <mergeCell ref="F10:J10"/>
    <mergeCell ref="F11:J11"/>
    <mergeCell ref="F12:J12"/>
  </mergeCells>
  <pageMargins left="0.70866141732283472" right="0.70866141732283472" top="0.74803149606299213" bottom="0.74803149606299213" header="0.31496062992125984" footer="0.31496062992125984"/>
  <pageSetup paperSize="9" scale="98" orientation="landscape"/>
  <headerFooter scaleWithDoc="1" alignWithMargins="1" differentFirst="0" differentOddEven="0">
    <oddHeader>&amp;LPhosphate Budget Calculator&amp;CStage 7</oddHeader>
    <oddFooter>&amp;LVersion 2.2&amp;R&amp;D</oddFooter>
  </headerFooter>
  <customProperties>
    <customPr name="SSC_SHEET_GUID" r:id="rId2"/>
  </customProperties>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5" tint="0.79998168889431442"/>
    <pageSetUpPr fitToPage="1"/>
  </sheetPr>
  <dimension ref="A1:V69"/>
  <sheetViews>
    <sheetView topLeftCell="A2" view="normal" workbookViewId="0">
      <selection pane="topLeft" activeCell="G11" sqref="G11"/>
    </sheetView>
  </sheetViews>
  <sheetFormatPr defaultRowHeight="13.2"/>
  <cols>
    <col min="1" max="1" width="2.7109375" customWidth="1"/>
    <col min="2" max="3" width="0.70703125" customWidth="1"/>
    <col min="4" max="4" width="6.41796875" hidden="1" customWidth="1"/>
    <col min="5" max="5" width="0.99609375" customWidth="1"/>
    <col min="6" max="6" width="5.5703125" customWidth="1"/>
    <col min="7" max="7" width="26" customWidth="1"/>
    <col min="10" max="10" width="8.7109375" customWidth="1"/>
    <col min="11" max="11" width="7.41796875" customWidth="1"/>
    <col min="12" max="12" width="12.41796875" customWidth="1"/>
    <col min="13" max="13" width="3.27734375" customWidth="1"/>
    <col min="14" max="14" width="2.27734375" customWidth="1"/>
    <col min="15" max="15" width="8.7109375" customWidth="1"/>
    <col min="16" max="16" width="4.7109375" customWidth="1"/>
    <col min="17" max="17" width="6.5703125" customWidth="1"/>
    <col min="18" max="18" width="9.41796875" customWidth="1"/>
    <col min="19" max="19" width="6.5703125" customWidth="1"/>
    <col min="20" max="20" width="9.7109375" customWidth="1"/>
    <col min="21" max="21" width="12.7109375" customWidth="1"/>
    <col min="22" max="22" width="10.27734375" customWidth="1"/>
    <col min="23" max="23" width="15.7109375" customWidth="1"/>
  </cols>
  <sheetData>
    <row r="1" spans="1:1" ht="14.4" thickBot="1">
      <c r="A1" s="40" t="s">
        <v>447</v>
      </c>
    </row>
    <row r="2" spans="2:22" ht="3.6" customHeight="1">
      <c r="B2" s="1"/>
      <c r="C2" s="2"/>
      <c r="D2" s="2"/>
      <c r="E2" s="2"/>
      <c r="F2" s="2"/>
      <c r="G2" s="2"/>
      <c r="H2" s="2"/>
      <c r="I2" s="2"/>
      <c r="J2" s="2"/>
      <c r="K2" s="2"/>
      <c r="L2" s="2"/>
      <c r="M2" s="2"/>
      <c r="N2" s="2"/>
      <c r="O2" s="2"/>
      <c r="P2" s="2"/>
      <c r="Q2" s="2"/>
      <c r="R2" s="2"/>
      <c r="S2" s="2"/>
      <c r="T2" s="2"/>
      <c r="U2" s="2"/>
      <c r="V2" s="3"/>
    </row>
    <row r="3" spans="2:22" ht="28.5" customHeight="1">
      <c r="B3" s="4"/>
      <c r="E3" s="42"/>
      <c r="F3" s="275" t="s">
        <v>448</v>
      </c>
      <c r="G3" s="275"/>
      <c r="H3" s="275"/>
      <c r="I3" s="275"/>
      <c r="J3" s="275"/>
      <c r="K3" s="275"/>
      <c r="L3" s="275"/>
      <c r="M3" s="275"/>
      <c r="N3" s="275"/>
      <c r="O3" s="275"/>
      <c r="P3" s="275"/>
      <c r="Q3" s="275"/>
      <c r="R3" s="275"/>
      <c r="S3" s="275"/>
      <c r="T3" s="275"/>
      <c r="U3" s="275"/>
      <c r="V3" s="47"/>
    </row>
    <row r="4" spans="2:22" ht="2.1" customHeight="1">
      <c r="B4" s="4"/>
      <c r="C4" s="11"/>
      <c r="E4" s="42"/>
      <c r="F4" s="222"/>
      <c r="G4" s="222"/>
      <c r="H4" s="222"/>
      <c r="I4" s="222"/>
      <c r="J4" s="222"/>
      <c r="K4" s="222"/>
      <c r="L4" s="222"/>
      <c r="M4" s="222"/>
      <c r="N4" s="222"/>
      <c r="O4" s="222"/>
      <c r="P4" s="222"/>
      <c r="Q4" s="222"/>
      <c r="R4" s="222"/>
      <c r="S4" s="222"/>
      <c r="T4" s="222"/>
      <c r="U4" s="222"/>
      <c r="V4" s="47"/>
    </row>
    <row r="5" spans="2:22" ht="15.6">
      <c r="B5" s="4"/>
      <c r="C5" s="11"/>
      <c r="E5" s="42"/>
      <c r="F5" s="222"/>
      <c r="G5" s="445" t="e">
        <f>IF(AND(T15&gt;0,T15&lt;100),"Proposed development has a 'Zero' value","Proposed development does not have a 'Zero' value")</f>
        <v>#DIV/0!</v>
      </c>
      <c r="H5" s="445"/>
      <c r="I5" s="445"/>
      <c r="J5" s="445"/>
      <c r="K5" s="445"/>
      <c r="L5" s="445"/>
      <c r="M5" s="445"/>
      <c r="N5" s="445"/>
      <c r="O5" s="445"/>
      <c r="P5" s="445"/>
      <c r="Q5" s="445"/>
      <c r="R5" s="445"/>
      <c r="S5" s="445"/>
      <c r="T5" s="445"/>
      <c r="U5" s="445"/>
      <c r="V5" s="47"/>
    </row>
    <row r="6" spans="2:22" ht="24.6" customHeight="1">
      <c r="B6" s="4"/>
      <c r="C6" s="5"/>
      <c r="E6" s="42"/>
      <c r="F6" s="222"/>
      <c r="G6" s="445"/>
      <c r="H6" s="445"/>
      <c r="I6" s="445"/>
      <c r="J6" s="445"/>
      <c r="K6" s="445"/>
      <c r="L6" s="445"/>
      <c r="M6" s="445"/>
      <c r="N6" s="445"/>
      <c r="O6" s="445"/>
      <c r="P6" s="445"/>
      <c r="Q6" s="445"/>
      <c r="R6" s="445"/>
      <c r="S6" s="445"/>
      <c r="T6" s="445"/>
      <c r="U6" s="445"/>
      <c r="V6" s="47"/>
    </row>
    <row r="7" spans="2:22" ht="11.1" customHeight="1">
      <c r="B7" s="4"/>
      <c r="C7" s="5"/>
      <c r="E7" s="42"/>
      <c r="F7" s="222"/>
      <c r="G7" s="232" t="s">
        <v>449</v>
      </c>
      <c r="H7" s="232"/>
      <c r="I7" s="232"/>
      <c r="J7" s="232"/>
      <c r="K7" s="232"/>
      <c r="L7" s="232"/>
      <c r="M7" s="232"/>
      <c r="N7" s="232"/>
      <c r="O7" s="232"/>
      <c r="P7" s="232"/>
      <c r="Q7" s="232"/>
      <c r="R7" s="232"/>
      <c r="S7" s="232"/>
      <c r="T7" s="232"/>
      <c r="U7" s="232"/>
      <c r="V7" s="47"/>
    </row>
    <row r="8" spans="2:22" ht="11.1" customHeight="1">
      <c r="B8" s="4"/>
      <c r="C8" s="5"/>
      <c r="E8" s="42"/>
      <c r="F8" s="222"/>
      <c r="G8" s="232"/>
      <c r="H8" s="232"/>
      <c r="I8" s="232"/>
      <c r="J8" s="232"/>
      <c r="K8" s="232"/>
      <c r="L8" s="232"/>
      <c r="M8" s="232"/>
      <c r="N8" s="232"/>
      <c r="O8" s="232"/>
      <c r="P8" s="232"/>
      <c r="Q8" s="232"/>
      <c r="R8" s="232"/>
      <c r="S8" s="232"/>
      <c r="T8" s="232"/>
      <c r="U8" s="232"/>
      <c r="V8" s="47"/>
    </row>
    <row r="9" spans="2:22" ht="11.1" customHeight="1">
      <c r="B9" s="4"/>
      <c r="C9" s="5"/>
      <c r="E9" s="42"/>
      <c r="F9" s="222"/>
      <c r="G9" s="232"/>
      <c r="H9" s="232"/>
      <c r="I9" s="232"/>
      <c r="J9" s="232"/>
      <c r="K9" s="232"/>
      <c r="L9" s="232"/>
      <c r="M9" s="232"/>
      <c r="N9" s="232"/>
      <c r="O9" s="232"/>
      <c r="P9" s="232"/>
      <c r="Q9" s="232"/>
      <c r="R9" s="232"/>
      <c r="S9" s="232"/>
      <c r="T9" s="232"/>
      <c r="U9" s="232"/>
      <c r="V9" s="47"/>
    </row>
    <row r="10" spans="2:22" ht="12" customHeight="1">
      <c r="B10" s="4"/>
      <c r="C10" s="5"/>
      <c r="E10" s="42"/>
      <c r="F10" s="222"/>
      <c r="G10" s="369" t="s">
        <v>450</v>
      </c>
      <c r="H10" s="369"/>
      <c r="I10" s="369"/>
      <c r="J10" s="369"/>
      <c r="K10" s="369"/>
      <c r="L10" s="369"/>
      <c r="M10" s="369"/>
      <c r="N10" s="369"/>
      <c r="O10" s="369"/>
      <c r="P10" s="369"/>
      <c r="Q10" s="369"/>
      <c r="R10" s="369"/>
      <c r="S10" s="369"/>
      <c r="T10" s="369"/>
      <c r="U10" s="369"/>
      <c r="V10" s="47"/>
    </row>
    <row r="11" spans="2:22" ht="12" customHeight="1">
      <c r="B11" s="4"/>
      <c r="C11" s="5"/>
      <c r="E11" s="42"/>
      <c r="F11" s="222"/>
      <c r="G11" s="344" t="s">
        <v>451</v>
      </c>
      <c r="H11" s="222"/>
      <c r="I11" s="222"/>
      <c r="J11" s="222"/>
      <c r="K11" s="222"/>
      <c r="L11" s="222"/>
      <c r="M11" s="222"/>
      <c r="N11" s="222"/>
      <c r="O11" s="222"/>
      <c r="P11" s="222"/>
      <c r="Q11" s="222"/>
      <c r="R11" s="222"/>
      <c r="S11" s="222"/>
      <c r="T11" s="222"/>
      <c r="U11" s="222"/>
      <c r="V11" s="47"/>
    </row>
    <row r="12" spans="2:22" ht="12" customHeight="1">
      <c r="B12" s="4"/>
      <c r="C12" s="5"/>
      <c r="E12" s="42"/>
      <c r="F12" s="222"/>
      <c r="G12" s="222"/>
      <c r="H12" s="222"/>
      <c r="I12" s="222"/>
      <c r="J12" s="222"/>
      <c r="K12" s="222"/>
      <c r="L12" s="222"/>
      <c r="M12" s="222"/>
      <c r="N12" s="222"/>
      <c r="O12" s="222"/>
      <c r="P12" s="222"/>
      <c r="Q12" s="222"/>
      <c r="R12" s="222"/>
      <c r="S12" s="222"/>
      <c r="T12" s="222"/>
      <c r="U12" s="222"/>
      <c r="V12" s="47"/>
    </row>
    <row r="13" spans="2:22" ht="15.6">
      <c r="B13" s="4"/>
      <c r="C13" s="5"/>
      <c r="E13" s="42"/>
      <c r="F13" s="222"/>
      <c r="G13" s="275" t="s">
        <v>452</v>
      </c>
      <c r="H13" s="275"/>
      <c r="I13" s="275"/>
      <c r="J13" s="275"/>
      <c r="K13" s="275"/>
      <c r="L13" s="275"/>
      <c r="M13" s="66"/>
      <c r="N13" s="49"/>
      <c r="O13" s="446" t="s">
        <v>453</v>
      </c>
      <c r="P13" s="446"/>
      <c r="Q13" s="446"/>
      <c r="R13" s="446"/>
      <c r="S13" s="446"/>
      <c r="T13" s="446"/>
      <c r="U13" s="446"/>
      <c r="V13" s="47"/>
    </row>
    <row r="14" spans="2:22" ht="15.6">
      <c r="B14" s="4"/>
      <c r="C14" s="5"/>
      <c r="E14" s="42"/>
      <c r="F14" s="222"/>
      <c r="G14" s="222"/>
      <c r="H14" s="222"/>
      <c r="I14" s="222"/>
      <c r="J14" s="222"/>
      <c r="K14" s="222" t="s">
        <v>240</v>
      </c>
      <c r="L14" s="222" t="s">
        <v>442</v>
      </c>
      <c r="M14" s="222"/>
      <c r="N14" s="222"/>
      <c r="O14" s="222"/>
      <c r="P14" s="222"/>
      <c r="Q14" s="222"/>
      <c r="R14" s="222"/>
      <c r="S14" s="222"/>
      <c r="T14" s="140" t="s">
        <v>240</v>
      </c>
      <c r="U14" s="140" t="s">
        <v>442</v>
      </c>
      <c r="V14" s="47"/>
    </row>
    <row r="15" spans="2:22" ht="12" customHeight="1">
      <c r="B15" s="4"/>
      <c r="C15" s="5"/>
      <c r="E15" s="42"/>
      <c r="F15" s="222"/>
      <c r="G15" s="138" t="s">
        <v>454</v>
      </c>
      <c r="H15" s="138"/>
      <c r="I15" s="138"/>
      <c r="J15" s="138"/>
      <c r="K15" s="327">
        <f>'Stage 1'!V11+'Stage 1'!V14+'Stage 1'!V17</f>
        <v>0</v>
      </c>
      <c r="L15" s="328" t="s">
        <v>244</v>
      </c>
      <c r="M15" s="222"/>
      <c r="N15" s="222"/>
      <c r="O15" s="138" t="s">
        <v>455</v>
      </c>
      <c r="P15" s="138"/>
      <c r="Q15" s="138"/>
      <c r="R15" s="138"/>
      <c r="S15" s="138"/>
      <c r="T15" s="329" t="e">
        <f>-(INTERCEPT('Graph Calculations'!F14:Z14,'Graph Calculations'!F5:Z5))/(SLOPE('Graph Calculations'!F14:Z14,'Graph Calculations'!F5:Z5))</f>
        <v>#DIV/0!</v>
      </c>
      <c r="U15" s="288" t="s">
        <v>254</v>
      </c>
      <c r="V15" s="47"/>
    </row>
    <row r="16" spans="2:22" ht="15.6">
      <c r="B16" s="4"/>
      <c r="C16" s="5"/>
      <c r="E16" s="42"/>
      <c r="F16" s="222"/>
      <c r="G16" s="138" t="s">
        <v>456</v>
      </c>
      <c r="H16" s="138"/>
      <c r="I16" s="138"/>
      <c r="J16" s="138"/>
      <c r="K16" s="329">
        <f>'Stage 2'!K41</f>
        <v>0</v>
      </c>
      <c r="L16" s="328" t="s">
        <v>323</v>
      </c>
      <c r="M16" s="222"/>
      <c r="N16" s="222"/>
      <c r="O16" s="138" t="s">
        <v>457</v>
      </c>
      <c r="P16" s="138"/>
      <c r="Q16" s="138"/>
      <c r="R16" s="138"/>
      <c r="S16" s="138"/>
      <c r="T16" s="329" t="e">
        <f>-'Graph Calculations'!AB11</f>
        <v>#DIV/0!</v>
      </c>
      <c r="U16" s="330" t="s">
        <v>293</v>
      </c>
      <c r="V16" s="47"/>
    </row>
    <row r="17" spans="2:22" ht="4.2" customHeight="1">
      <c r="B17" s="4"/>
      <c r="C17" s="5"/>
      <c r="E17" s="42"/>
      <c r="F17" s="222"/>
      <c r="G17" s="49"/>
      <c r="H17" s="222"/>
      <c r="I17" s="222"/>
      <c r="J17" s="222"/>
      <c r="K17" s="49"/>
      <c r="L17" s="226"/>
      <c r="M17" s="222"/>
      <c r="N17" s="222"/>
      <c r="O17" s="49"/>
      <c r="P17" s="222"/>
      <c r="Q17" s="222"/>
      <c r="R17" s="222"/>
      <c r="S17" s="222"/>
      <c r="T17" s="49"/>
      <c r="U17" s="288"/>
      <c r="V17" s="47"/>
    </row>
    <row r="18" spans="2:22" ht="15.6">
      <c r="B18" s="4"/>
      <c r="C18" s="5"/>
      <c r="E18" s="42"/>
      <c r="F18" s="222"/>
      <c r="G18" s="142" t="s">
        <v>458</v>
      </c>
      <c r="H18" s="142"/>
      <c r="I18" s="142"/>
      <c r="J18" s="142"/>
      <c r="K18" s="142"/>
      <c r="L18" s="226"/>
      <c r="M18" s="222"/>
      <c r="N18" s="222"/>
      <c r="O18" s="142" t="s">
        <v>459</v>
      </c>
      <c r="P18" s="142"/>
      <c r="Q18" s="142"/>
      <c r="R18" s="142"/>
      <c r="S18" s="142"/>
      <c r="T18" s="331" t="e">
        <f>IF('Graph Calculations'!AB12&gt;$K$15,$K$15,'Graph Calculations'!AB12)</f>
        <v>#DIV/0!</v>
      </c>
      <c r="U18" s="332" t="s">
        <v>244</v>
      </c>
      <c r="V18" s="47"/>
    </row>
    <row r="19" spans="2:22" ht="15.6">
      <c r="B19" s="4"/>
      <c r="C19" s="5"/>
      <c r="E19" s="42"/>
      <c r="F19" s="222"/>
      <c r="G19" s="138" t="s">
        <v>460</v>
      </c>
      <c r="H19" s="138"/>
      <c r="I19" s="138"/>
      <c r="J19" s="138"/>
      <c r="K19" s="329">
        <f>'Stage 2'!K46</f>
        <v>0</v>
      </c>
      <c r="L19" s="328" t="s">
        <v>293</v>
      </c>
      <c r="M19" s="222"/>
      <c r="N19" s="222"/>
      <c r="O19" s="49"/>
      <c r="P19" s="222"/>
      <c r="Q19" s="222"/>
      <c r="R19" s="222"/>
      <c r="S19" s="323"/>
      <c r="T19" s="222"/>
      <c r="U19" s="288"/>
      <c r="V19" s="47"/>
    </row>
    <row r="20" spans="2:22" ht="15.6">
      <c r="B20" s="4"/>
      <c r="C20" s="5"/>
      <c r="E20" s="42"/>
      <c r="F20" s="222"/>
      <c r="G20" s="138" t="s">
        <v>461</v>
      </c>
      <c r="H20" s="138"/>
      <c r="I20" s="138"/>
      <c r="J20" s="138"/>
      <c r="K20" s="329">
        <f>'Stage 2'!K48</f>
        <v>0</v>
      </c>
      <c r="L20" s="328" t="s">
        <v>293</v>
      </c>
      <c r="M20" s="222"/>
      <c r="N20" s="222"/>
      <c r="O20" s="138" t="s">
        <v>462</v>
      </c>
      <c r="P20" s="138"/>
      <c r="Q20" s="138"/>
      <c r="R20" s="138"/>
      <c r="S20" s="138"/>
      <c r="T20" s="329" t="e">
        <f>-(INTERCEPT('Graph Calculations'!F26:Z26,'Graph Calculations'!F17:Z17))/(SLOPE('Graph Calculations'!F26:Z26,'Graph Calculations'!F17:Z17))</f>
        <v>#DIV/0!</v>
      </c>
      <c r="U20" s="288" t="s">
        <v>254</v>
      </c>
      <c r="V20" s="47"/>
    </row>
    <row r="21" spans="2:22" ht="15.6">
      <c r="B21" s="4"/>
      <c r="C21" s="5"/>
      <c r="E21" s="42"/>
      <c r="F21" s="222"/>
      <c r="G21" s="49"/>
      <c r="H21" s="222"/>
      <c r="I21" s="222"/>
      <c r="J21" s="222"/>
      <c r="K21" s="49"/>
      <c r="L21" s="226"/>
      <c r="M21" s="222"/>
      <c r="N21" s="222"/>
      <c r="O21" s="138" t="s">
        <v>463</v>
      </c>
      <c r="P21" s="138"/>
      <c r="Q21" s="138"/>
      <c r="R21" s="138"/>
      <c r="S21" s="138"/>
      <c r="T21" s="329" t="e">
        <f>-'Graph Calculations'!AB23</f>
        <v>#DIV/0!</v>
      </c>
      <c r="U21" s="330" t="s">
        <v>293</v>
      </c>
      <c r="V21" s="47"/>
    </row>
    <row r="22" spans="2:22" ht="15.6">
      <c r="B22" s="4"/>
      <c r="C22" s="5"/>
      <c r="E22" s="42"/>
      <c r="F22" s="222"/>
      <c r="G22" s="142" t="s">
        <v>464</v>
      </c>
      <c r="H22" s="142"/>
      <c r="I22" s="142"/>
      <c r="J22" s="142"/>
      <c r="K22" s="142"/>
      <c r="L22" s="226"/>
      <c r="M22" s="222"/>
      <c r="N22" s="222"/>
      <c r="O22" s="49"/>
      <c r="P22" s="222"/>
      <c r="Q22" s="222"/>
      <c r="R22" s="222"/>
      <c r="S22" s="222"/>
      <c r="T22" s="49"/>
      <c r="U22" s="222"/>
      <c r="V22" s="47"/>
    </row>
    <row r="23" spans="2:22" ht="2.1" customHeight="1">
      <c r="B23" s="4"/>
      <c r="C23" s="5"/>
      <c r="E23" s="42"/>
      <c r="F23" s="222"/>
      <c r="G23" s="49"/>
      <c r="H23" s="222"/>
      <c r="I23" s="222"/>
      <c r="J23" s="222"/>
      <c r="K23" s="49"/>
      <c r="L23" s="226"/>
      <c r="M23" s="222"/>
      <c r="N23" s="222"/>
      <c r="O23" s="221"/>
      <c r="P23" s="221"/>
      <c r="Q23" s="221"/>
      <c r="R23" s="221"/>
      <c r="S23" s="221"/>
      <c r="T23" s="221"/>
      <c r="U23" s="221"/>
      <c r="V23" s="47"/>
    </row>
    <row r="24" spans="2:22" ht="15.6">
      <c r="B24" s="4"/>
      <c r="C24" s="5"/>
      <c r="E24" s="42"/>
      <c r="F24" s="222"/>
      <c r="G24" s="138" t="s">
        <v>465</v>
      </c>
      <c r="H24" s="138"/>
      <c r="I24" s="138"/>
      <c r="J24" s="138"/>
      <c r="K24" s="329">
        <f>'Stage 4'!K12</f>
        <v>0</v>
      </c>
      <c r="L24" s="328" t="s">
        <v>293</v>
      </c>
      <c r="M24" s="222"/>
      <c r="N24" s="222"/>
      <c r="O24" s="142" t="s">
        <v>459</v>
      </c>
      <c r="P24" s="142"/>
      <c r="Q24" s="142"/>
      <c r="R24" s="142"/>
      <c r="S24" s="142"/>
      <c r="T24" s="331" t="e">
        <f>IF('Graph Calculations'!AB24&gt;$K$15,$K$15,'Graph Calculations'!AB24)</f>
        <v>#DIV/0!</v>
      </c>
      <c r="U24" s="332" t="s">
        <v>244</v>
      </c>
      <c r="V24" s="47"/>
    </row>
    <row r="25" spans="2:22" ht="15.6">
      <c r="B25" s="4"/>
      <c r="C25" s="5"/>
      <c r="E25" s="42"/>
      <c r="F25" s="222"/>
      <c r="G25" s="138" t="s">
        <v>333</v>
      </c>
      <c r="H25" s="138"/>
      <c r="I25" s="138"/>
      <c r="J25" s="138"/>
      <c r="K25" s="329">
        <f>'Stage 3'!K36</f>
        <v>0</v>
      </c>
      <c r="L25" s="328" t="s">
        <v>293</v>
      </c>
      <c r="M25" s="222"/>
      <c r="N25" s="222"/>
      <c r="O25" s="222"/>
      <c r="P25" s="222"/>
      <c r="Q25" s="222"/>
      <c r="R25" s="222"/>
      <c r="S25" s="222"/>
      <c r="T25" s="222"/>
      <c r="U25" s="222"/>
      <c r="V25" s="47"/>
    </row>
    <row r="26" spans="2:22" ht="15.6">
      <c r="B26" s="4"/>
      <c r="C26" s="5"/>
      <c r="E26" s="42"/>
      <c r="F26" s="222"/>
      <c r="G26" s="138" t="s">
        <v>466</v>
      </c>
      <c r="H26" s="138"/>
      <c r="I26" s="138"/>
      <c r="J26" s="138"/>
      <c r="K26" s="329">
        <f>'Stage 1'!U69</f>
        <v>0</v>
      </c>
      <c r="L26" s="328" t="s">
        <v>293</v>
      </c>
      <c r="M26" s="222"/>
      <c r="N26" s="222"/>
      <c r="O26" s="222"/>
      <c r="P26" s="222"/>
      <c r="Q26" s="222"/>
      <c r="R26" s="222"/>
      <c r="S26" s="222"/>
      <c r="T26" s="222"/>
      <c r="U26" s="222"/>
      <c r="V26" s="47"/>
    </row>
    <row r="27" spans="2:22" ht="15.6">
      <c r="B27" s="4"/>
      <c r="C27" s="5"/>
      <c r="E27" s="42"/>
      <c r="F27" s="222"/>
      <c r="G27" s="138" t="s">
        <v>334</v>
      </c>
      <c r="H27" s="138"/>
      <c r="I27" s="138"/>
      <c r="J27" s="138"/>
      <c r="K27" s="329">
        <f>'Stage 3'!K38</f>
        <v>0</v>
      </c>
      <c r="L27" s="328" t="s">
        <v>293</v>
      </c>
      <c r="M27" s="222"/>
      <c r="N27" s="222"/>
      <c r="O27" s="222"/>
      <c r="P27" s="222"/>
      <c r="Q27" s="222"/>
      <c r="R27" s="222"/>
      <c r="S27" s="222"/>
      <c r="T27" s="222"/>
      <c r="U27" s="222"/>
      <c r="V27" s="47"/>
    </row>
    <row r="28" spans="2:22" ht="15.6">
      <c r="B28" s="4"/>
      <c r="C28" s="5"/>
      <c r="E28" s="42"/>
      <c r="F28" s="222"/>
      <c r="G28" s="222"/>
      <c r="H28" s="222"/>
      <c r="I28" s="222"/>
      <c r="J28" s="222"/>
      <c r="K28" s="323"/>
      <c r="L28" s="323"/>
      <c r="M28" s="222"/>
      <c r="N28" s="222"/>
      <c r="O28" s="222"/>
      <c r="P28" s="222"/>
      <c r="Q28" s="222"/>
      <c r="R28" s="222"/>
      <c r="S28" s="222"/>
      <c r="T28" s="222"/>
      <c r="U28" s="222"/>
      <c r="V28" s="47"/>
    </row>
    <row r="29" spans="2:22" ht="15.6">
      <c r="B29" s="4"/>
      <c r="C29" s="5"/>
      <c r="E29" s="42"/>
      <c r="F29" s="222"/>
      <c r="G29" s="222"/>
      <c r="H29" s="222"/>
      <c r="I29" s="222"/>
      <c r="J29" s="222"/>
      <c r="K29" s="222"/>
      <c r="L29" s="222"/>
      <c r="M29" s="222"/>
      <c r="N29" s="222"/>
      <c r="O29" s="225"/>
      <c r="P29" s="222"/>
      <c r="Q29" s="222"/>
      <c r="R29" s="222"/>
      <c r="S29" s="222"/>
      <c r="T29" s="222"/>
      <c r="U29" s="222"/>
      <c r="V29" s="47"/>
    </row>
    <row r="30" spans="2:22" ht="6" customHeight="1">
      <c r="B30" s="4"/>
      <c r="C30" s="5"/>
      <c r="E30" s="42"/>
      <c r="F30" s="222"/>
      <c r="G30" s="222"/>
      <c r="H30" s="222"/>
      <c r="I30" s="222"/>
      <c r="J30" s="222"/>
      <c r="K30" s="222"/>
      <c r="L30" s="222"/>
      <c r="M30" s="222"/>
      <c r="N30" s="222"/>
      <c r="O30" s="222"/>
      <c r="P30" s="222"/>
      <c r="Q30" s="222"/>
      <c r="R30" s="222"/>
      <c r="S30" s="222"/>
      <c r="T30" s="222"/>
      <c r="U30" s="222"/>
      <c r="V30" s="47"/>
    </row>
    <row r="31" spans="2:22" ht="16.2" customHeight="1">
      <c r="B31" s="4"/>
      <c r="C31" s="5"/>
      <c r="E31" s="42"/>
      <c r="F31" s="222"/>
      <c r="G31" s="222"/>
      <c r="H31" s="222"/>
      <c r="I31" s="222"/>
      <c r="J31" s="222"/>
      <c r="K31" s="222"/>
      <c r="L31" s="222"/>
      <c r="M31" s="222"/>
      <c r="N31" s="222"/>
      <c r="O31" s="222"/>
      <c r="P31" s="222"/>
      <c r="Q31" s="222"/>
      <c r="R31" s="222"/>
      <c r="S31" s="222"/>
      <c r="T31" s="222"/>
      <c r="U31" s="222"/>
      <c r="V31" s="47"/>
    </row>
    <row r="32" spans="2:22" ht="15" customHeight="1">
      <c r="B32" s="4"/>
      <c r="C32" s="5"/>
      <c r="E32" s="42"/>
      <c r="F32" s="222"/>
      <c r="G32" s="222"/>
      <c r="H32" s="222"/>
      <c r="I32" s="222"/>
      <c r="J32" s="222"/>
      <c r="K32" s="323"/>
      <c r="L32" s="323"/>
      <c r="M32" s="222"/>
      <c r="N32" s="222"/>
      <c r="O32" s="222"/>
      <c r="P32" s="222"/>
      <c r="Q32" s="222"/>
      <c r="R32" s="222"/>
      <c r="S32" s="323"/>
      <c r="T32" s="323"/>
      <c r="U32" s="222"/>
      <c r="V32" s="47"/>
    </row>
    <row r="33" spans="2:22" ht="15.6">
      <c r="B33" s="4"/>
      <c r="C33" s="5"/>
      <c r="D33" t="s">
        <v>467</v>
      </c>
      <c r="E33" s="42"/>
      <c r="F33" s="222"/>
      <c r="G33" s="222"/>
      <c r="H33" s="222"/>
      <c r="I33" s="222"/>
      <c r="J33" s="222"/>
      <c r="K33" s="323"/>
      <c r="L33" s="323"/>
      <c r="M33" s="222"/>
      <c r="N33" s="222"/>
      <c r="O33" s="222"/>
      <c r="P33" s="222"/>
      <c r="Q33" s="222"/>
      <c r="R33" s="222"/>
      <c r="S33" s="323"/>
      <c r="T33" s="323"/>
      <c r="U33" s="222"/>
      <c r="V33" s="47"/>
    </row>
    <row r="34" spans="2:22" ht="12.6" customHeight="1">
      <c r="B34" s="4"/>
      <c r="C34" s="5"/>
      <c r="E34" s="42"/>
      <c r="F34" s="222"/>
      <c r="G34" s="222"/>
      <c r="H34" s="222"/>
      <c r="I34" s="222"/>
      <c r="J34" s="222"/>
      <c r="K34" s="222"/>
      <c r="L34" s="222"/>
      <c r="M34" s="222"/>
      <c r="N34" s="222"/>
      <c r="O34" s="222"/>
      <c r="P34" s="222"/>
      <c r="Q34" s="222"/>
      <c r="R34" s="222"/>
      <c r="S34" s="222"/>
      <c r="T34" s="222"/>
      <c r="U34" s="222"/>
      <c r="V34" s="47"/>
    </row>
    <row r="35" spans="2:22" ht="23.7" customHeight="1">
      <c r="B35" s="4"/>
      <c r="C35" s="5"/>
      <c r="D35" t="s">
        <v>468</v>
      </c>
      <c r="E35" s="42"/>
      <c r="F35" s="222"/>
      <c r="G35" s="225"/>
      <c r="H35" s="222"/>
      <c r="I35" s="222"/>
      <c r="J35" s="222"/>
      <c r="K35" s="323"/>
      <c r="L35" s="323"/>
      <c r="M35" s="222"/>
      <c r="N35" s="222"/>
      <c r="O35" s="222"/>
      <c r="P35" s="222"/>
      <c r="Q35" s="222"/>
      <c r="R35" s="222"/>
      <c r="S35" s="323"/>
      <c r="T35" s="323"/>
      <c r="U35" s="222"/>
      <c r="V35" s="47"/>
    </row>
    <row r="36" spans="2:22" ht="1.5" customHeight="1">
      <c r="B36" s="4"/>
      <c r="C36" s="5"/>
      <c r="E36" s="42"/>
      <c r="F36" s="222"/>
      <c r="G36" s="222"/>
      <c r="H36" s="222"/>
      <c r="I36" s="222"/>
      <c r="J36" s="222"/>
      <c r="K36" s="222"/>
      <c r="L36" s="222"/>
      <c r="M36" s="222"/>
      <c r="N36" s="222"/>
      <c r="O36" s="222"/>
      <c r="P36" s="222"/>
      <c r="Q36" s="222"/>
      <c r="R36" s="222"/>
      <c r="S36" s="222"/>
      <c r="T36" s="222"/>
      <c r="U36" s="222"/>
      <c r="V36" s="47"/>
    </row>
    <row r="37" spans="2:22" ht="15.6">
      <c r="B37" s="4"/>
      <c r="C37" s="5"/>
      <c r="D37" t="s">
        <v>469</v>
      </c>
      <c r="E37" s="42"/>
      <c r="F37" s="222"/>
      <c r="G37" s="222"/>
      <c r="H37" s="222"/>
      <c r="I37" s="222"/>
      <c r="J37" s="222"/>
      <c r="K37" s="222"/>
      <c r="L37" s="222"/>
      <c r="M37" s="222"/>
      <c r="N37" s="222"/>
      <c r="O37" s="222"/>
      <c r="P37" s="222"/>
      <c r="Q37" s="222"/>
      <c r="R37" s="222"/>
      <c r="S37" s="222"/>
      <c r="T37" s="222"/>
      <c r="U37" s="222"/>
      <c r="V37" s="47"/>
    </row>
    <row r="38" spans="2:22" ht="15.6">
      <c r="B38" s="4"/>
      <c r="C38" s="5"/>
      <c r="E38" s="53"/>
      <c r="F38" s="272"/>
      <c r="G38" s="272"/>
      <c r="H38" s="222"/>
      <c r="I38" s="222"/>
      <c r="J38" s="222"/>
      <c r="K38" s="222"/>
      <c r="L38" s="222"/>
      <c r="M38" s="222"/>
      <c r="N38" s="222"/>
      <c r="O38" s="222"/>
      <c r="P38" s="222"/>
      <c r="Q38" s="222"/>
      <c r="R38" s="222"/>
      <c r="S38" s="222"/>
      <c r="T38" s="222"/>
      <c r="U38" s="222"/>
      <c r="V38" s="47"/>
    </row>
    <row r="39" spans="2:22" ht="6.6" customHeight="1">
      <c r="B39" s="4"/>
      <c r="C39" s="5"/>
      <c r="E39" s="42"/>
      <c r="F39" s="222"/>
      <c r="G39" s="222"/>
      <c r="H39" s="222"/>
      <c r="I39" s="222"/>
      <c r="J39" s="222"/>
      <c r="K39" s="222"/>
      <c r="L39" s="222"/>
      <c r="M39" s="222"/>
      <c r="N39" s="222"/>
      <c r="O39" s="222"/>
      <c r="P39" s="222"/>
      <c r="Q39" s="222"/>
      <c r="R39" s="222"/>
      <c r="S39" s="222"/>
      <c r="T39" s="222"/>
      <c r="U39" s="222"/>
      <c r="V39" s="47"/>
    </row>
    <row r="40" spans="2:22" ht="15.6">
      <c r="B40" s="4"/>
      <c r="C40" s="5"/>
      <c r="E40" s="42"/>
      <c r="F40" s="222"/>
      <c r="G40" s="222"/>
      <c r="H40" s="222"/>
      <c r="I40" s="222"/>
      <c r="J40" s="222"/>
      <c r="K40" s="222"/>
      <c r="L40" s="222"/>
      <c r="M40" s="222"/>
      <c r="N40" s="222"/>
      <c r="O40" s="222"/>
      <c r="P40" s="222"/>
      <c r="Q40" s="222"/>
      <c r="R40" s="222"/>
      <c r="S40" s="222"/>
      <c r="T40" s="222"/>
      <c r="U40" s="222"/>
      <c r="V40" s="47"/>
    </row>
    <row r="41" spans="2:22" ht="15.6">
      <c r="B41" s="4"/>
      <c r="C41" s="5"/>
      <c r="E41" s="42"/>
      <c r="F41" s="222"/>
      <c r="G41" s="225"/>
      <c r="H41" s="222"/>
      <c r="I41" s="222"/>
      <c r="J41" s="222"/>
      <c r="K41" s="222"/>
      <c r="L41" s="222"/>
      <c r="M41" s="222"/>
      <c r="N41" s="222"/>
      <c r="O41" s="222"/>
      <c r="P41" s="222"/>
      <c r="Q41" s="222"/>
      <c r="R41" s="222"/>
      <c r="S41" s="222"/>
      <c r="T41" s="222"/>
      <c r="U41" s="222"/>
      <c r="V41" s="47"/>
    </row>
    <row r="42" spans="2:22" ht="15.6">
      <c r="B42" s="4"/>
      <c r="C42" s="5"/>
      <c r="E42" s="42"/>
      <c r="F42" s="222"/>
      <c r="G42" s="222"/>
      <c r="H42" s="222"/>
      <c r="I42" s="222"/>
      <c r="J42" s="222"/>
      <c r="K42" s="222"/>
      <c r="L42" s="222"/>
      <c r="M42" s="222"/>
      <c r="N42" s="222"/>
      <c r="O42" s="222"/>
      <c r="P42" s="222"/>
      <c r="Q42" s="222"/>
      <c r="R42" s="222"/>
      <c r="S42" s="222"/>
      <c r="T42" s="222"/>
      <c r="U42" s="222"/>
      <c r="V42" s="47"/>
    </row>
    <row r="43" spans="2:22" ht="12.6" customHeight="1">
      <c r="B43" s="4"/>
      <c r="C43" s="5"/>
      <c r="E43" s="42"/>
      <c r="F43" s="222"/>
      <c r="G43" s="222"/>
      <c r="H43" s="222"/>
      <c r="I43" s="222"/>
      <c r="J43" s="222"/>
      <c r="K43" s="222"/>
      <c r="L43" s="222"/>
      <c r="M43" s="222"/>
      <c r="N43" s="222"/>
      <c r="O43" s="222"/>
      <c r="P43" s="222"/>
      <c r="Q43" s="222"/>
      <c r="R43" s="222"/>
      <c r="S43" s="222"/>
      <c r="T43" s="222"/>
      <c r="U43" s="222"/>
      <c r="V43" s="47"/>
    </row>
    <row r="44" spans="2:22" ht="35.7" customHeight="1">
      <c r="B44" s="4"/>
      <c r="C44" s="5"/>
      <c r="E44" s="42"/>
      <c r="F44" s="222"/>
      <c r="G44" s="222"/>
      <c r="H44" s="222"/>
      <c r="I44" s="222"/>
      <c r="J44" s="222"/>
      <c r="K44" s="222"/>
      <c r="L44" s="222"/>
      <c r="M44" s="222"/>
      <c r="N44" s="222"/>
      <c r="O44" s="222"/>
      <c r="P44" s="222"/>
      <c r="Q44" s="222"/>
      <c r="R44" s="222"/>
      <c r="S44" s="222"/>
      <c r="T44" s="222"/>
      <c r="U44" s="222"/>
      <c r="V44" s="47"/>
    </row>
    <row r="45" spans="2:22" customHeight="1">
      <c r="B45" s="4"/>
      <c r="C45" s="5"/>
      <c r="E45" s="42"/>
      <c r="F45" s="222"/>
      <c r="G45" s="222"/>
      <c r="H45" s="222"/>
      <c r="I45" s="222"/>
      <c r="J45" s="222"/>
      <c r="K45" s="222"/>
      <c r="L45" s="222"/>
      <c r="M45" s="222"/>
      <c r="N45" s="222"/>
      <c r="O45" s="222"/>
      <c r="P45" s="222"/>
      <c r="Q45" s="222"/>
      <c r="R45" s="222"/>
      <c r="S45" s="222"/>
      <c r="T45" s="222"/>
      <c r="U45" s="222"/>
      <c r="V45" s="47"/>
    </row>
    <row r="46" spans="2:22" customHeight="1">
      <c r="B46" s="4"/>
      <c r="C46" s="5"/>
      <c r="E46" s="42"/>
      <c r="F46" s="222"/>
      <c r="G46" s="222"/>
      <c r="H46" s="222"/>
      <c r="I46" s="222"/>
      <c r="J46" s="222"/>
      <c r="K46" s="222"/>
      <c r="L46" s="222"/>
      <c r="M46" s="222"/>
      <c r="N46" s="222"/>
      <c r="O46" s="222"/>
      <c r="P46" s="222"/>
      <c r="Q46" s="222"/>
      <c r="R46" s="222"/>
      <c r="S46" s="222"/>
      <c r="T46" s="222"/>
      <c r="U46" s="222"/>
      <c r="V46" s="47"/>
    </row>
    <row r="47" spans="2:22" ht="35.7" customHeight="1">
      <c r="B47" s="4"/>
      <c r="C47" s="5"/>
      <c r="E47" s="42"/>
      <c r="F47" s="222"/>
      <c r="G47" s="222"/>
      <c r="H47" s="222"/>
      <c r="I47" s="222"/>
      <c r="J47" s="222"/>
      <c r="K47" s="222"/>
      <c r="L47" s="222"/>
      <c r="M47" s="222"/>
      <c r="N47" s="222"/>
      <c r="O47" s="222"/>
      <c r="P47" s="222"/>
      <c r="Q47" s="222"/>
      <c r="R47" s="222"/>
      <c r="S47" s="222"/>
      <c r="T47" s="222"/>
      <c r="U47" s="222"/>
      <c r="V47" s="47"/>
    </row>
    <row r="48" spans="2:22" ht="35.7" customHeight="1">
      <c r="B48" s="4"/>
      <c r="C48" s="5"/>
      <c r="E48" s="42"/>
      <c r="F48" s="222"/>
      <c r="G48" s="222"/>
      <c r="H48" s="222"/>
      <c r="I48" s="222"/>
      <c r="J48" s="222"/>
      <c r="K48" s="222"/>
      <c r="L48" s="222"/>
      <c r="M48" s="222"/>
      <c r="N48" s="222"/>
      <c r="O48" s="222"/>
      <c r="P48" s="222"/>
      <c r="Q48" s="222"/>
      <c r="R48" s="222"/>
      <c r="S48" s="222"/>
      <c r="T48" s="222"/>
      <c r="U48" s="222"/>
      <c r="V48" s="47"/>
    </row>
    <row r="49" spans="2:22" ht="35.7" customHeight="1">
      <c r="B49" s="4"/>
      <c r="C49" s="5"/>
      <c r="E49" s="42"/>
      <c r="F49" s="222"/>
      <c r="G49" s="222"/>
      <c r="H49" s="222"/>
      <c r="I49" s="222"/>
      <c r="J49" s="222"/>
      <c r="K49" s="222"/>
      <c r="L49" s="222"/>
      <c r="M49" s="222"/>
      <c r="N49" s="222"/>
      <c r="O49" s="222"/>
      <c r="P49" s="222"/>
      <c r="Q49" s="222"/>
      <c r="R49" s="222"/>
      <c r="S49" s="222"/>
      <c r="T49" s="222"/>
      <c r="U49" s="222"/>
      <c r="V49" s="47"/>
    </row>
    <row r="50" spans="2:22" ht="35.7" customHeight="1">
      <c r="B50" s="4"/>
      <c r="C50" s="5"/>
      <c r="E50" s="42"/>
      <c r="F50" s="222"/>
      <c r="G50" s="222"/>
      <c r="H50" s="222"/>
      <c r="I50" s="222"/>
      <c r="J50" s="222"/>
      <c r="K50" s="222"/>
      <c r="L50" s="222"/>
      <c r="M50" s="222"/>
      <c r="N50" s="222"/>
      <c r="O50" s="222"/>
      <c r="P50" s="222"/>
      <c r="Q50" s="222"/>
      <c r="R50" s="222"/>
      <c r="S50" s="222"/>
      <c r="T50" s="222"/>
      <c r="U50" s="222"/>
      <c r="V50" s="47"/>
    </row>
    <row r="51" spans="2:22" ht="35.7" customHeight="1">
      <c r="B51" s="4"/>
      <c r="C51" s="5"/>
      <c r="E51" s="42"/>
      <c r="F51" s="222"/>
      <c r="G51" s="222"/>
      <c r="H51" s="222"/>
      <c r="I51" s="222"/>
      <c r="J51" s="222"/>
      <c r="K51" s="222"/>
      <c r="L51" s="222"/>
      <c r="M51" s="222"/>
      <c r="N51" s="222"/>
      <c r="O51" s="222"/>
      <c r="P51" s="222"/>
      <c r="Q51" s="222"/>
      <c r="R51" s="222"/>
      <c r="S51" s="222"/>
      <c r="T51" s="222"/>
      <c r="U51" s="222"/>
      <c r="V51" s="47"/>
    </row>
    <row r="52" spans="2:22" ht="35.7" customHeight="1">
      <c r="B52" s="4"/>
      <c r="C52" s="5"/>
      <c r="E52" s="42"/>
      <c r="F52" s="222"/>
      <c r="G52" s="222"/>
      <c r="H52" s="222"/>
      <c r="I52" s="222"/>
      <c r="J52" s="222"/>
      <c r="K52" s="222"/>
      <c r="L52" s="222"/>
      <c r="M52" s="222"/>
      <c r="N52" s="222"/>
      <c r="O52" s="222"/>
      <c r="P52" s="222"/>
      <c r="Q52" s="222"/>
      <c r="R52" s="222"/>
      <c r="S52" s="222"/>
      <c r="T52" s="222"/>
      <c r="U52" s="222"/>
      <c r="V52" s="47"/>
    </row>
    <row r="53" spans="2:22" ht="35.7" customHeight="1">
      <c r="B53" s="4"/>
      <c r="C53" s="5"/>
      <c r="E53" s="42"/>
      <c r="F53" s="222"/>
      <c r="G53" s="222"/>
      <c r="H53" s="222"/>
      <c r="I53" s="222"/>
      <c r="J53" s="222"/>
      <c r="K53" s="222"/>
      <c r="L53" s="222"/>
      <c r="M53" s="222"/>
      <c r="N53" s="222"/>
      <c r="O53" s="222"/>
      <c r="P53" s="222"/>
      <c r="Q53" s="222"/>
      <c r="R53" s="222"/>
      <c r="S53" s="222"/>
      <c r="T53" s="222"/>
      <c r="U53" s="222"/>
      <c r="V53" s="47"/>
    </row>
    <row r="54" spans="2:22" ht="19.5" customHeight="1" thickBot="1">
      <c r="B54" s="7"/>
      <c r="C54" s="8"/>
      <c r="D54" s="36"/>
      <c r="E54" s="51"/>
      <c r="F54" s="51"/>
      <c r="G54" s="51"/>
      <c r="H54" s="58"/>
      <c r="I54" s="51"/>
      <c r="J54" s="51"/>
      <c r="K54" s="51"/>
      <c r="L54" s="51"/>
      <c r="M54" s="51"/>
      <c r="N54" s="51"/>
      <c r="O54" s="51"/>
      <c r="P54" s="51"/>
      <c r="Q54" s="51"/>
      <c r="R54" s="51"/>
      <c r="S54" s="51"/>
      <c r="T54" s="51"/>
      <c r="U54" s="51"/>
      <c r="V54" s="52"/>
    </row>
    <row r="69" spans="10:18">
      <c r="J69" s="16"/>
      <c r="K69" s="16"/>
      <c r="L69" s="16"/>
      <c r="M69" s="16"/>
      <c r="N69" s="16"/>
      <c r="O69" s="16"/>
      <c r="P69" s="16"/>
      <c r="Q69" s="16"/>
      <c r="R69" s="16"/>
    </row>
  </sheetData>
  <sheetProtection algorithmName="SHA-512" hashValue="Xr1zlvxEM9GGKyAIo5Wxh6SaqTLn86HsaHKikhVsKwH35CzGaawfmyG0jK7SRUeHLZc6Hhoovix1hjgQABSPVQ==" saltValue="Mhhi51IKFh9XWmEwXxrTYA==" spinCount="100000" sheet="1" objects="1" scenarios="1" selectLockedCells="1"/>
  <mergeCells count="22">
    <mergeCell ref="G26:J26"/>
    <mergeCell ref="G27:J27"/>
    <mergeCell ref="G25:J25"/>
    <mergeCell ref="O15:S15"/>
    <mergeCell ref="O16:S16"/>
    <mergeCell ref="O18:S18"/>
    <mergeCell ref="G15:J15"/>
    <mergeCell ref="G16:J16"/>
    <mergeCell ref="G18:K18"/>
    <mergeCell ref="G19:J19"/>
    <mergeCell ref="G22:K22"/>
    <mergeCell ref="G24:J24"/>
    <mergeCell ref="O20:S20"/>
    <mergeCell ref="O21:S21"/>
    <mergeCell ref="O24:S24"/>
    <mergeCell ref="G20:J20"/>
    <mergeCell ref="F3:U3"/>
    <mergeCell ref="G5:U6"/>
    <mergeCell ref="G7:U9"/>
    <mergeCell ref="G13:L13"/>
    <mergeCell ref="O13:U13"/>
    <mergeCell ref="G10:U10"/>
  </mergeCells>
  <conditionalFormatting sqref="G5:U6">
    <cfRule type="containsText" dxfId="10" priority="1" operator="containsText" text="not">
      <formula>NOT(ISERROR(SEARCH("not",G5)))</formula>
    </cfRule>
    <cfRule type="containsText" dxfId="9" priority="2" operator="containsText" text="has">
      <formula>NOT(ISERROR(SEARCH("has",G5)))</formula>
    </cfRule>
  </conditionalFormatting>
  <dataValidations count="1">
    <dataValidation type="list" allowBlank="1" showInputMessage="1" showErrorMessage="1" sqref="G11">
      <formula1>"House, Hotel / quest house"</formula1>
    </dataValidation>
  </dataValidations>
  <pageMargins left="0.70866141732283472" right="0.70866141732283472" top="0.74803149606299213" bottom="0.74803149606299213" header="0.31496062992125984" footer="0.31496062992125984"/>
  <pageSetup paperSize="9" scale="58" orientation="landscape" horizontalDpi="360" verticalDpi="360"/>
  <headerFooter scaleWithDoc="1" alignWithMargins="1" differentFirst="0" differentOddEven="0">
    <oddHeader>&amp;LPhosphate Budget Calculator&amp;CStage 4</oddHeader>
    <oddFooter>&amp;LVersion 2.2&amp;R&amp;D</oddFooter>
  </headerFooter>
  <customProperties>
    <customPr name="SSC_SHEET_GUID" r:id="rId2"/>
  </customProperties>
  <drawing r:id="rId3"/>
  <extLst/>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5" tint="0.79998168889431442"/>
    <pageSetUpPr fitToPage="1"/>
  </sheetPr>
  <dimension ref="B1:AB67"/>
  <sheetViews>
    <sheetView topLeftCell="B1" zoomScale="115" view="normal" workbookViewId="0">
      <selection pane="topLeft" activeCell="O18" sqref="O18"/>
    </sheetView>
  </sheetViews>
  <sheetFormatPr defaultRowHeight="13.2"/>
  <cols>
    <col min="2" max="3" width="0.70703125" customWidth="1"/>
    <col min="4" max="4" width="6.41796875" hidden="1" customWidth="1"/>
    <col min="5" max="5" width="30.5703125" customWidth="1"/>
    <col min="6" max="6" width="8" customWidth="1"/>
    <col min="7" max="7" width="8.27734375" customWidth="1"/>
    <col min="8" max="8" width="7" customWidth="1"/>
    <col min="9" max="9" width="9.27734375" customWidth="1"/>
    <col min="10" max="10" width="6.5703125" customWidth="1"/>
    <col min="11" max="11" width="7.41796875" customWidth="1"/>
    <col min="12" max="12" width="7.7109375" customWidth="1"/>
    <col min="13" max="13" width="7.41796875" customWidth="1"/>
    <col min="14" max="14" width="7.7109375" customWidth="1"/>
    <col min="15" max="15" width="6.7109375" customWidth="1"/>
    <col min="16" max="16" width="7.5703125" customWidth="1"/>
    <col min="17" max="17" width="8.27734375" customWidth="1"/>
    <col min="18" max="18" width="7.41796875" customWidth="1"/>
    <col min="19" max="19" width="7.5703125" customWidth="1"/>
    <col min="20" max="21" width="7.27734375" customWidth="1"/>
    <col min="22" max="22" width="8.41796875" customWidth="1"/>
    <col min="23" max="23" width="9.5703125" customWidth="1"/>
    <col min="24" max="24" width="7.41796875" customWidth="1"/>
    <col min="25" max="25" width="8.41796875" customWidth="1"/>
    <col min="26" max="26" width="8" customWidth="1"/>
    <col min="27" max="27" width="3.7109375" customWidth="1"/>
    <col min="28" max="28" width="17.27734375" customWidth="1"/>
  </cols>
  <sheetData>
    <row r="1" ht="13.8" thickBot="1"/>
    <row r="2" spans="2:28" ht="3.6" customHeight="1">
      <c r="B2" s="1"/>
      <c r="C2" s="2"/>
      <c r="D2" s="2"/>
      <c r="E2" s="2"/>
      <c r="F2" s="2"/>
      <c r="G2" s="2"/>
      <c r="H2" s="2"/>
      <c r="I2" s="2"/>
      <c r="J2" s="2"/>
      <c r="K2" s="2"/>
      <c r="L2" s="2"/>
      <c r="M2" s="2"/>
      <c r="N2" s="2"/>
      <c r="O2" s="2"/>
      <c r="P2" s="2"/>
      <c r="Q2" s="2"/>
      <c r="R2" s="2"/>
      <c r="S2" s="2"/>
      <c r="T2" s="2"/>
      <c r="U2" s="2"/>
      <c r="V2" s="2"/>
      <c r="W2" s="2"/>
      <c r="X2" s="2"/>
      <c r="Y2" s="2"/>
      <c r="Z2" s="2"/>
      <c r="AA2" s="2"/>
      <c r="AB2" s="3"/>
    </row>
    <row r="3" spans="2:28" ht="11.1" customHeight="1">
      <c r="B3" s="4"/>
      <c r="C3" s="5"/>
      <c r="D3" s="5"/>
      <c r="E3" s="42" t="s">
        <v>470</v>
      </c>
      <c r="F3" s="42"/>
      <c r="G3" s="42"/>
      <c r="H3" s="42"/>
      <c r="I3" s="42"/>
      <c r="J3" s="42"/>
      <c r="K3" s="42"/>
      <c r="L3" s="42"/>
      <c r="M3" s="42"/>
      <c r="N3" s="42"/>
      <c r="O3" s="42"/>
      <c r="P3" s="42"/>
      <c r="Q3" s="42"/>
      <c r="R3" s="42"/>
      <c r="S3" s="42"/>
      <c r="T3" s="42"/>
      <c r="U3" s="42"/>
      <c r="V3" s="42"/>
      <c r="W3" s="42"/>
      <c r="X3" s="42"/>
      <c r="Y3" s="42"/>
      <c r="Z3" s="42"/>
      <c r="AA3" s="42"/>
      <c r="AB3" s="47"/>
    </row>
    <row r="4" spans="2:28" ht="2.1" customHeight="1">
      <c r="B4" s="4"/>
      <c r="C4" s="11"/>
      <c r="D4" s="5"/>
      <c r="E4" s="42"/>
      <c r="F4" s="59">
        <v>1</v>
      </c>
      <c r="G4" s="59">
        <v>0.95</v>
      </c>
      <c r="H4" s="59">
        <v>0.9</v>
      </c>
      <c r="I4" s="59">
        <v>0.85</v>
      </c>
      <c r="J4" s="59">
        <v>0.8</v>
      </c>
      <c r="K4" s="59">
        <v>0.75</v>
      </c>
      <c r="L4" s="59">
        <v>0.7</v>
      </c>
      <c r="M4" s="59">
        <v>0.65</v>
      </c>
      <c r="N4" s="59">
        <v>0.6</v>
      </c>
      <c r="O4" s="59">
        <v>0.55</v>
      </c>
      <c r="P4" s="59">
        <v>0.5</v>
      </c>
      <c r="Q4" s="60">
        <v>0.45</v>
      </c>
      <c r="R4" s="59">
        <v>0.399999999999999</v>
      </c>
      <c r="S4" s="60">
        <v>0.349999999999999</v>
      </c>
      <c r="T4" s="59">
        <v>0.299999999999999</v>
      </c>
      <c r="U4" s="59">
        <v>0.249999999999999</v>
      </c>
      <c r="V4" s="59">
        <v>0.199999999999999</v>
      </c>
      <c r="W4" s="59">
        <v>0.149999999999999</v>
      </c>
      <c r="X4" s="59">
        <v>0.099999999999999</v>
      </c>
      <c r="Y4" s="59">
        <v>0.049999999999999</v>
      </c>
      <c r="Z4" s="42"/>
      <c r="AA4" s="42"/>
      <c r="AB4" s="47"/>
    </row>
    <row r="5" spans="2:28" ht="13.8">
      <c r="B5" s="4"/>
      <c r="C5" s="11"/>
      <c r="D5" s="5"/>
      <c r="E5" s="61" t="s">
        <v>471</v>
      </c>
      <c r="F5" s="61">
        <v>100</v>
      </c>
      <c r="G5" s="61">
        <v>95</v>
      </c>
      <c r="H5" s="61">
        <v>90</v>
      </c>
      <c r="I5" s="61">
        <v>85</v>
      </c>
      <c r="J5" s="61">
        <v>80</v>
      </c>
      <c r="K5" s="61">
        <v>75</v>
      </c>
      <c r="L5" s="61">
        <v>70</v>
      </c>
      <c r="M5" s="61">
        <v>65</v>
      </c>
      <c r="N5" s="61">
        <v>60</v>
      </c>
      <c r="O5" s="61">
        <v>55</v>
      </c>
      <c r="P5" s="61">
        <v>50</v>
      </c>
      <c r="Q5" s="61">
        <v>45</v>
      </c>
      <c r="R5" s="61">
        <v>40</v>
      </c>
      <c r="S5" s="61">
        <v>35</v>
      </c>
      <c r="T5" s="61">
        <v>30</v>
      </c>
      <c r="U5" s="61">
        <v>25</v>
      </c>
      <c r="V5" s="61">
        <v>20</v>
      </c>
      <c r="W5" s="61">
        <v>15</v>
      </c>
      <c r="X5" s="61">
        <v>10</v>
      </c>
      <c r="Y5" s="61">
        <v>5</v>
      </c>
      <c r="Z5" s="61">
        <v>0</v>
      </c>
      <c r="AA5" s="61"/>
      <c r="AB5" s="62" t="e">
        <f>'Zero value Calc'!T15</f>
        <v>#DIV/0!</v>
      </c>
    </row>
    <row r="6" spans="2:28" ht="24.6" customHeight="1">
      <c r="B6" s="4"/>
      <c r="C6" s="5"/>
      <c r="D6" s="5"/>
      <c r="E6" s="61" t="s">
        <v>472</v>
      </c>
      <c r="F6" s="61">
        <v>0</v>
      </c>
      <c r="G6" s="61">
        <v>0.05</v>
      </c>
      <c r="H6" s="61">
        <v>0.1</v>
      </c>
      <c r="I6" s="61">
        <v>0.15</v>
      </c>
      <c r="J6" s="61">
        <v>0.2</v>
      </c>
      <c r="K6" s="61">
        <v>0.25</v>
      </c>
      <c r="L6" s="61">
        <v>0.3</v>
      </c>
      <c r="M6" s="61">
        <v>0.35</v>
      </c>
      <c r="N6" s="61">
        <v>0.4</v>
      </c>
      <c r="O6" s="61">
        <v>0.45</v>
      </c>
      <c r="P6" s="61">
        <v>0.5</v>
      </c>
      <c r="Q6" s="61">
        <v>0.55</v>
      </c>
      <c r="R6" s="61">
        <v>0.6</v>
      </c>
      <c r="S6" s="61">
        <v>0.65</v>
      </c>
      <c r="T6" s="61">
        <v>0.7</v>
      </c>
      <c r="U6" s="61">
        <v>0.75</v>
      </c>
      <c r="V6" s="61">
        <v>0.8</v>
      </c>
      <c r="W6" s="61">
        <v>0.85</v>
      </c>
      <c r="X6" s="61">
        <v>0.9</v>
      </c>
      <c r="Y6" s="61">
        <v>0.95</v>
      </c>
      <c r="Z6" s="61">
        <v>1</v>
      </c>
      <c r="AA6" s="61"/>
      <c r="AB6" s="63" t="e">
        <f>1-AB5/100</f>
        <v>#DIV/0!</v>
      </c>
    </row>
    <row r="7" spans="2:28" ht="11.1" customHeight="1">
      <c r="B7" s="4"/>
      <c r="C7" s="5"/>
      <c r="D7" s="5"/>
      <c r="E7" s="61" t="s">
        <v>473</v>
      </c>
      <c r="F7" s="64">
        <v>1</v>
      </c>
      <c r="G7" s="64">
        <v>0.95</v>
      </c>
      <c r="H7" s="64">
        <v>0.9</v>
      </c>
      <c r="I7" s="64">
        <v>0.85</v>
      </c>
      <c r="J7" s="64">
        <v>0.8</v>
      </c>
      <c r="K7" s="64">
        <v>0.75</v>
      </c>
      <c r="L7" s="64">
        <v>0.7</v>
      </c>
      <c r="M7" s="64">
        <v>0.65</v>
      </c>
      <c r="N7" s="64">
        <v>0.6</v>
      </c>
      <c r="O7" s="64">
        <v>0.55</v>
      </c>
      <c r="P7" s="64">
        <v>0.5</v>
      </c>
      <c r="Q7" s="64">
        <v>0.45</v>
      </c>
      <c r="R7" s="64">
        <v>0.399999999999999</v>
      </c>
      <c r="S7" s="64">
        <v>0.349999999999999</v>
      </c>
      <c r="T7" s="64">
        <v>0.299999999999999</v>
      </c>
      <c r="U7" s="64">
        <v>0.249999999999999</v>
      </c>
      <c r="V7" s="64">
        <v>0.199999999999999</v>
      </c>
      <c r="W7" s="64">
        <v>0.149999999999999</v>
      </c>
      <c r="X7" s="64">
        <v>0.099999999999999</v>
      </c>
      <c r="Y7" s="64">
        <v>0.049999999999999</v>
      </c>
      <c r="Z7" s="64">
        <v>-9.99200722162641E-16</v>
      </c>
      <c r="AA7" s="61"/>
      <c r="AB7" s="63" t="e">
        <f>AB5/100</f>
        <v>#DIV/0!</v>
      </c>
    </row>
    <row r="8" spans="2:28" ht="11.1" customHeight="1">
      <c r="B8" s="4"/>
      <c r="C8" s="5"/>
      <c r="D8" s="5"/>
      <c r="E8" s="61" t="s">
        <v>474</v>
      </c>
      <c r="F8" s="64">
        <f>('Stage 3'!$K$36)*'Graph Calculations'!F6</f>
        <v>0</v>
      </c>
      <c r="G8" s="64">
        <f>('Stage 3'!$K$36)*'Graph Calculations'!G6</f>
        <v>0</v>
      </c>
      <c r="H8" s="64">
        <f>('Stage 3'!$K$36)*'Graph Calculations'!H6</f>
        <v>0</v>
      </c>
      <c r="I8" s="64">
        <f>('Stage 3'!$K$36)*'Graph Calculations'!I6</f>
        <v>0</v>
      </c>
      <c r="J8" s="64">
        <f>('Stage 3'!$K$36)*'Graph Calculations'!J6</f>
        <v>0</v>
      </c>
      <c r="K8" s="64">
        <f>('Stage 3'!$K$36)*'Graph Calculations'!K6</f>
        <v>0</v>
      </c>
      <c r="L8" s="64">
        <f>('Stage 3'!$K$36)*'Graph Calculations'!L6</f>
        <v>0</v>
      </c>
      <c r="M8" s="64">
        <f>('Stage 3'!$K$36)*'Graph Calculations'!M6</f>
        <v>0</v>
      </c>
      <c r="N8" s="64">
        <f>('Stage 3'!$K$36)*'Graph Calculations'!N6</f>
        <v>0</v>
      </c>
      <c r="O8" s="64">
        <f>('Stage 3'!$K$36)*'Graph Calculations'!O6</f>
        <v>0</v>
      </c>
      <c r="P8" s="64">
        <f>('Stage 3'!$K$36)*'Graph Calculations'!P6</f>
        <v>0</v>
      </c>
      <c r="Q8" s="64">
        <f>('Stage 3'!$K$36)*'Graph Calculations'!Q6</f>
        <v>0</v>
      </c>
      <c r="R8" s="64">
        <f>('Stage 3'!$K$36)*'Graph Calculations'!R6</f>
        <v>0</v>
      </c>
      <c r="S8" s="64">
        <f>('Stage 3'!$K$36)*'Graph Calculations'!S6</f>
        <v>0</v>
      </c>
      <c r="T8" s="64">
        <f>('Stage 3'!$K$36)*'Graph Calculations'!T6</f>
        <v>0</v>
      </c>
      <c r="U8" s="64">
        <f>('Stage 3'!$K$36)*'Graph Calculations'!U6</f>
        <v>0</v>
      </c>
      <c r="V8" s="64">
        <f>('Stage 3'!$K$36)*'Graph Calculations'!V6</f>
        <v>0</v>
      </c>
      <c r="W8" s="64">
        <f>('Stage 3'!$K$36)*'Graph Calculations'!W6</f>
        <v>0</v>
      </c>
      <c r="X8" s="64">
        <f>('Stage 3'!$K$36)*'Graph Calculations'!X6</f>
        <v>0</v>
      </c>
      <c r="Y8" s="64">
        <f>('Stage 3'!$K$36)*'Graph Calculations'!Y6</f>
        <v>0</v>
      </c>
      <c r="Z8" s="64">
        <f>('Stage 3'!$K$36)*'Graph Calculations'!Z6</f>
        <v>0</v>
      </c>
      <c r="AA8" s="61"/>
      <c r="AB8" s="62" t="e">
        <f>('Stage 3'!$K$36)*'Graph Calculations'!AB6</f>
        <v>#DIV/0!</v>
      </c>
    </row>
    <row r="9" spans="2:28" ht="11.1" customHeight="1">
      <c r="B9" s="4"/>
      <c r="C9" s="5"/>
      <c r="D9" s="5"/>
      <c r="E9" s="61" t="s">
        <v>475</v>
      </c>
      <c r="F9" s="64">
        <f>('Zero value Calc'!$K$16*'Data Tables'!$O$9)*F7</f>
        <v>0</v>
      </c>
      <c r="G9" s="64">
        <f>('Zero value Calc'!$K$16*'Data Tables'!$O$9)*G7</f>
        <v>0</v>
      </c>
      <c r="H9" s="64">
        <f>('Zero value Calc'!$K$16*'Data Tables'!$O$9)*H7</f>
        <v>0</v>
      </c>
      <c r="I9" s="64">
        <f>('Zero value Calc'!$K$16*'Data Tables'!$O$9)*I7</f>
        <v>0</v>
      </c>
      <c r="J9" s="64">
        <f>('Zero value Calc'!$K$16*'Data Tables'!$O$9)*J7</f>
        <v>0</v>
      </c>
      <c r="K9" s="64">
        <f>('Zero value Calc'!$K$16*'Data Tables'!$O$9)*K7</f>
        <v>0</v>
      </c>
      <c r="L9" s="64">
        <f>('Zero value Calc'!$K$16*'Data Tables'!$O$9)*L7</f>
        <v>0</v>
      </c>
      <c r="M9" s="64">
        <f>('Zero value Calc'!$K$16*'Data Tables'!$O$9)*M7</f>
        <v>0</v>
      </c>
      <c r="N9" s="64">
        <f>('Zero value Calc'!$K$16*'Data Tables'!$O$9)*N7</f>
        <v>0</v>
      </c>
      <c r="O9" s="64">
        <f>('Zero value Calc'!$K$16*'Data Tables'!$O$9)*O7</f>
        <v>0</v>
      </c>
      <c r="P9" s="64">
        <f>('Zero value Calc'!$K$16*'Data Tables'!$O$9)*P7</f>
        <v>0</v>
      </c>
      <c r="Q9" s="64">
        <f>('Zero value Calc'!$K$16*'Data Tables'!$O$9)*Q7</f>
        <v>0</v>
      </c>
      <c r="R9" s="64">
        <f>('Zero value Calc'!$K$16*'Data Tables'!$O$9)*R7</f>
        <v>0</v>
      </c>
      <c r="S9" s="64">
        <f>('Zero value Calc'!$K$16*'Data Tables'!$O$9)*S7</f>
        <v>0</v>
      </c>
      <c r="T9" s="64">
        <f>('Zero value Calc'!$K$16*'Data Tables'!$O$9)*T7</f>
        <v>0</v>
      </c>
      <c r="U9" s="64">
        <f>('Zero value Calc'!$K$16*'Data Tables'!$O$9)*U7</f>
        <v>0</v>
      </c>
      <c r="V9" s="64">
        <f>('Zero value Calc'!$K$16*'Data Tables'!$O$9)*V7</f>
        <v>0</v>
      </c>
      <c r="W9" s="64">
        <f>('Zero value Calc'!$K$16*'Data Tables'!$O$9)*W7</f>
        <v>0</v>
      </c>
      <c r="X9" s="64">
        <f>('Zero value Calc'!$K$16*'Data Tables'!$O$9)*X7</f>
        <v>0</v>
      </c>
      <c r="Y9" s="64">
        <f>('Zero value Calc'!$K$16*'Data Tables'!$O$9)*Y7</f>
        <v>0</v>
      </c>
      <c r="Z9" s="64">
        <f>('Zero value Calc'!$K$16*'Data Tables'!$O$9)*Z7</f>
        <v>0</v>
      </c>
      <c r="AA9" s="64"/>
      <c r="AB9" s="62" t="e">
        <f>('Zero value Calc'!$K$16*'Data Tables'!$O$9)*AB7</f>
        <v>#DIV/0!</v>
      </c>
    </row>
    <row r="10" spans="2:28" ht="16.2" customHeight="1">
      <c r="B10" s="4"/>
      <c r="C10" s="10"/>
      <c r="D10" s="5"/>
      <c r="E10" s="61" t="s">
        <v>476</v>
      </c>
      <c r="F10" s="64">
        <f>SUM(F8:F9)</f>
        <v>0</v>
      </c>
      <c r="G10" s="64">
        <f>SUM(G8:G9)</f>
        <v>0</v>
      </c>
      <c r="H10" s="64">
        <f>SUM(H8:H9)</f>
        <v>0</v>
      </c>
      <c r="I10" s="64">
        <f>SUM(I8:I9)</f>
        <v>0</v>
      </c>
      <c r="J10" s="64">
        <f>SUM(J8:J9)</f>
        <v>0</v>
      </c>
      <c r="K10" s="64">
        <f>SUM(K8:K9)</f>
        <v>0</v>
      </c>
      <c r="L10" s="64">
        <f>SUM(L8:L9)</f>
        <v>0</v>
      </c>
      <c r="M10" s="64">
        <f>SUM(M8:M9)</f>
        <v>0</v>
      </c>
      <c r="N10" s="64">
        <f>SUM(N8:N9)</f>
        <v>0</v>
      </c>
      <c r="O10" s="64">
        <f>SUM(O8:O9)</f>
        <v>0</v>
      </c>
      <c r="P10" s="64">
        <f>SUM(P8:P9)</f>
        <v>0</v>
      </c>
      <c r="Q10" s="64">
        <f>SUM(Q8:Q9)</f>
        <v>0</v>
      </c>
      <c r="R10" s="64">
        <f>SUM(R8:R9)</f>
        <v>0</v>
      </c>
      <c r="S10" s="64">
        <f>SUM(S8:S9)</f>
        <v>0</v>
      </c>
      <c r="T10" s="64">
        <f>SUM(T8:T9)</f>
        <v>0</v>
      </c>
      <c r="U10" s="64">
        <f>SUM(U8:U9)</f>
        <v>0</v>
      </c>
      <c r="V10" s="64">
        <f>SUM(V8:V9)</f>
        <v>0</v>
      </c>
      <c r="W10" s="64">
        <f>SUM(W8:W9)</f>
        <v>0</v>
      </c>
      <c r="X10" s="64">
        <f>SUM(X8:X9)</f>
        <v>0</v>
      </c>
      <c r="Y10" s="64">
        <f>SUM(Y8:Y9)</f>
        <v>0</v>
      </c>
      <c r="Z10" s="64">
        <f>SUM(Z8:Z9)</f>
        <v>0</v>
      </c>
      <c r="AA10" s="64"/>
      <c r="AB10" s="62" t="e">
        <f>SUM(AB8:AB9)</f>
        <v>#DIV/0!</v>
      </c>
    </row>
    <row r="11" spans="2:28" ht="12" customHeight="1">
      <c r="B11" s="4"/>
      <c r="C11" s="5"/>
      <c r="D11" s="5"/>
      <c r="E11" s="61" t="s">
        <v>477</v>
      </c>
      <c r="F11" s="64">
        <f>F10-'Zero value Calc'!$K$19</f>
        <v>0</v>
      </c>
      <c r="G11" s="64">
        <f>G10-'Zero value Calc'!$K$19</f>
        <v>0</v>
      </c>
      <c r="H11" s="64">
        <f>H10-'Zero value Calc'!$K$19</f>
        <v>0</v>
      </c>
      <c r="I11" s="64">
        <f>I10-'Zero value Calc'!$K$19</f>
        <v>0</v>
      </c>
      <c r="J11" s="64">
        <f>J10-'Zero value Calc'!$K$19</f>
        <v>0</v>
      </c>
      <c r="K11" s="64">
        <f>K10-'Zero value Calc'!$K$19</f>
        <v>0</v>
      </c>
      <c r="L11" s="64">
        <f>L10-'Zero value Calc'!$K$19</f>
        <v>0</v>
      </c>
      <c r="M11" s="64">
        <f>M10-'Zero value Calc'!$K$19</f>
        <v>0</v>
      </c>
      <c r="N11" s="64">
        <f>N10-'Zero value Calc'!$K$19</f>
        <v>0</v>
      </c>
      <c r="O11" s="64">
        <f>O10-'Zero value Calc'!$K$19</f>
        <v>0</v>
      </c>
      <c r="P11" s="64">
        <f>P10-'Zero value Calc'!$K$19</f>
        <v>0</v>
      </c>
      <c r="Q11" s="64">
        <f>Q10-'Zero value Calc'!$K$19</f>
        <v>0</v>
      </c>
      <c r="R11" s="64">
        <f>R10-'Zero value Calc'!$K$19</f>
        <v>0</v>
      </c>
      <c r="S11" s="64">
        <f>S10-'Zero value Calc'!$K$19</f>
        <v>0</v>
      </c>
      <c r="T11" s="64">
        <f>T10-'Zero value Calc'!$K$19</f>
        <v>0</v>
      </c>
      <c r="U11" s="64">
        <f>U10-'Zero value Calc'!$K$19</f>
        <v>0</v>
      </c>
      <c r="V11" s="64">
        <f>V10-'Zero value Calc'!$K$19</f>
        <v>0</v>
      </c>
      <c r="W11" s="64">
        <f>W10-'Zero value Calc'!$K$19</f>
        <v>0</v>
      </c>
      <c r="X11" s="64">
        <f>X10-'Zero value Calc'!$K$19</f>
        <v>0</v>
      </c>
      <c r="Y11" s="64">
        <f>Y10-'Zero value Calc'!$K$19</f>
        <v>0</v>
      </c>
      <c r="Z11" s="64">
        <f>Z10-'Zero value Calc'!$K$19</f>
        <v>0</v>
      </c>
      <c r="AA11" s="64"/>
      <c r="AB11" s="62" t="e">
        <f>AB10-'Zero value Calc'!$K$19</f>
        <v>#DIV/0!</v>
      </c>
    </row>
    <row r="12" spans="2:28" ht="13.8">
      <c r="B12" s="4"/>
      <c r="C12" s="5"/>
      <c r="D12" s="5"/>
      <c r="E12" s="61" t="s">
        <v>478</v>
      </c>
      <c r="F12" s="64" t="e">
        <f>('Zero value Calc'!$K$15/'Zero value Calc'!$K$16)*(F6*'Zero value Calc'!$K$16)</f>
        <v>#DIV/0!</v>
      </c>
      <c r="G12" s="64" t="e">
        <f>('Zero value Calc'!$K$15/'Zero value Calc'!$K$16)*(G6*'Zero value Calc'!$K$16)</f>
        <v>#DIV/0!</v>
      </c>
      <c r="H12" s="64" t="e">
        <f>('Zero value Calc'!$K$15/'Zero value Calc'!$K$16)*(H6*'Zero value Calc'!$K$16)</f>
        <v>#DIV/0!</v>
      </c>
      <c r="I12" s="64" t="e">
        <f>('Zero value Calc'!$K$15/'Zero value Calc'!$K$16)*(I6*'Zero value Calc'!$K$16)</f>
        <v>#DIV/0!</v>
      </c>
      <c r="J12" s="64" t="e">
        <f>('Zero value Calc'!$K$15/'Zero value Calc'!$K$16)*(J6*'Zero value Calc'!$K$16)</f>
        <v>#DIV/0!</v>
      </c>
      <c r="K12" s="64" t="e">
        <f>('Zero value Calc'!$K$15/'Zero value Calc'!$K$16)*(K6*'Zero value Calc'!$K$16)</f>
        <v>#DIV/0!</v>
      </c>
      <c r="L12" s="64" t="e">
        <f>('Zero value Calc'!$K$15/'Zero value Calc'!$K$16)*(L6*'Zero value Calc'!$K$16)</f>
        <v>#DIV/0!</v>
      </c>
      <c r="M12" s="64" t="e">
        <f>('Zero value Calc'!$K$15/'Zero value Calc'!$K$16)*(M6*'Zero value Calc'!$K$16)</f>
        <v>#DIV/0!</v>
      </c>
      <c r="N12" s="64" t="e">
        <f>('Zero value Calc'!$K$15/'Zero value Calc'!$K$16)*(N6*'Zero value Calc'!$K$16)</f>
        <v>#DIV/0!</v>
      </c>
      <c r="O12" s="64" t="e">
        <f>('Zero value Calc'!$K$15/'Zero value Calc'!$K$16)*(O6*'Zero value Calc'!$K$16)</f>
        <v>#DIV/0!</v>
      </c>
      <c r="P12" s="64" t="e">
        <f>('Zero value Calc'!$K$15/'Zero value Calc'!$K$16)*(P6*'Zero value Calc'!$K$16)</f>
        <v>#DIV/0!</v>
      </c>
      <c r="Q12" s="64" t="e">
        <f>('Zero value Calc'!$K$15/'Zero value Calc'!$K$16)*(Q6*'Zero value Calc'!$K$16)</f>
        <v>#DIV/0!</v>
      </c>
      <c r="R12" s="64" t="e">
        <f>('Zero value Calc'!$K$15/'Zero value Calc'!$K$16)*(R6*'Zero value Calc'!$K$16)</f>
        <v>#DIV/0!</v>
      </c>
      <c r="S12" s="64" t="e">
        <f>('Zero value Calc'!$K$15/'Zero value Calc'!$K$16)*(S6*'Zero value Calc'!$K$16)</f>
        <v>#DIV/0!</v>
      </c>
      <c r="T12" s="64" t="e">
        <f>('Zero value Calc'!$K$15/'Zero value Calc'!$K$16)*(T6*'Zero value Calc'!$K$16)</f>
        <v>#DIV/0!</v>
      </c>
      <c r="U12" s="64" t="e">
        <f>('Zero value Calc'!$K$15/'Zero value Calc'!$K$16)*(U6*'Zero value Calc'!$K$16)</f>
        <v>#DIV/0!</v>
      </c>
      <c r="V12" s="64" t="e">
        <f>('Zero value Calc'!$K$15/'Zero value Calc'!$K$16)*(V6*'Zero value Calc'!$K$16)</f>
        <v>#DIV/0!</v>
      </c>
      <c r="W12" s="64" t="e">
        <f>('Zero value Calc'!$K$15/'Zero value Calc'!$K$16)*(W6*'Zero value Calc'!$K$16)</f>
        <v>#DIV/0!</v>
      </c>
      <c r="X12" s="64" t="e">
        <f>('Zero value Calc'!$K$15/'Zero value Calc'!$K$16)*(X6*'Zero value Calc'!$K$16)</f>
        <v>#DIV/0!</v>
      </c>
      <c r="Y12" s="64" t="e">
        <f>('Zero value Calc'!$K$15/'Zero value Calc'!$K$16)*(Y6*'Zero value Calc'!$K$16)</f>
        <v>#DIV/0!</v>
      </c>
      <c r="Z12" s="64" t="e">
        <f>('Zero value Calc'!$K$15/'Zero value Calc'!$K$16)*(Z6*'Zero value Calc'!$K$16)</f>
        <v>#DIV/0!</v>
      </c>
      <c r="AA12" s="64"/>
      <c r="AB12" s="62" t="e">
        <f>('Zero value Calc'!$K$15/'Zero value Calc'!$K$16)*(AB6*'Zero value Calc'!$K$16)</f>
        <v>#DIV/0!</v>
      </c>
    </row>
    <row r="13" spans="2:28" ht="13.8">
      <c r="B13" s="4"/>
      <c r="C13" s="5"/>
      <c r="D13" s="5"/>
      <c r="E13" s="61" t="s">
        <v>479</v>
      </c>
      <c r="F13" s="64" t="e">
        <f>((((F12*(IF('Zero value Calc'!$G$11="House",'Stage 1'!$V$12,0)+IF('Zero value Calc'!$G$11="Hotel / quest house",'Stage 1'!$V$18,0))*'Stage 1'!$V$33)*'Stage 1'!$K$52)/1000000)*365.25)</f>
        <v>#DIV/0!</v>
      </c>
      <c r="G13" s="64" t="e">
        <f>((((G12*(IF('Zero value Calc'!$G$11="House",'Stage 1'!$V$12,0)+IF('Zero value Calc'!$G$11="Hotel / quest house",'Stage 1'!$V$18,0))*'Stage 1'!$V$33)*'Stage 1'!$K$52)/1000000)*365.25)</f>
        <v>#DIV/0!</v>
      </c>
      <c r="H13" s="64" t="e">
        <f>((((H12*(IF('Zero value Calc'!$G$11="House",'Stage 1'!$V$12,0)+IF('Zero value Calc'!$G$11="Hotel / quest house",'Stage 1'!$V$18,0))*'Stage 1'!$V$33)*'Stage 1'!$K$52)/1000000)*365.25)</f>
        <v>#DIV/0!</v>
      </c>
      <c r="I13" s="64" t="e">
        <f>((((I12*(IF('Zero value Calc'!$G$11="House",'Stage 1'!$V$12,0)+IF('Zero value Calc'!$G$11="Hotel / quest house",'Stage 1'!$V$18,0))*'Stage 1'!$V$33)*'Stage 1'!$K$52)/1000000)*365.25)</f>
        <v>#DIV/0!</v>
      </c>
      <c r="J13" s="64" t="e">
        <f>((((J12*(IF('Zero value Calc'!$G$11="House",'Stage 1'!$V$12,0)+IF('Zero value Calc'!$G$11="Hotel / quest house",'Stage 1'!$V$18,0))*'Stage 1'!$V$33)*'Stage 1'!$K$52)/1000000)*365.25)</f>
        <v>#DIV/0!</v>
      </c>
      <c r="K13" s="64" t="e">
        <f>((((K12*(IF('Zero value Calc'!$G$11="House",'Stage 1'!$V$12,0)+IF('Zero value Calc'!$G$11="Hotel / quest house",'Stage 1'!$V$18,0))*'Stage 1'!$V$33)*'Stage 1'!$K$52)/1000000)*365.25)</f>
        <v>#DIV/0!</v>
      </c>
      <c r="L13" s="64" t="e">
        <f>((((L12*(IF('Zero value Calc'!$G$11="House",'Stage 1'!$V$12,0)+IF('Zero value Calc'!$G$11="Hotel / quest house",'Stage 1'!$V$18,0))*'Stage 1'!$V$33)*'Stage 1'!$K$52)/1000000)*365.25)</f>
        <v>#DIV/0!</v>
      </c>
      <c r="M13" s="64" t="e">
        <f>((((M12*(IF('Zero value Calc'!$G$11="House",'Stage 1'!$V$12,0)+IF('Zero value Calc'!$G$11="Hotel / quest house",'Stage 1'!$V$18,0))*'Stage 1'!$V$33)*'Stage 1'!$K$52)/1000000)*365.25)</f>
        <v>#DIV/0!</v>
      </c>
      <c r="N13" s="64" t="e">
        <f>((((N12*(IF('Zero value Calc'!$G$11="House",'Stage 1'!$V$12,0)+IF('Zero value Calc'!$G$11="Hotel / quest house",'Stage 1'!$V$18,0))*'Stage 1'!$V$33)*'Stage 1'!$K$52)/1000000)*365.25)</f>
        <v>#DIV/0!</v>
      </c>
      <c r="O13" s="64" t="e">
        <f>((((O12*(IF('Zero value Calc'!$G$11="House",'Stage 1'!$V$12,0)+IF('Zero value Calc'!$G$11="Hotel / quest house",'Stage 1'!$V$18,0))*'Stage 1'!$V$33)*'Stage 1'!$K$52)/1000000)*365.25)</f>
        <v>#DIV/0!</v>
      </c>
      <c r="P13" s="64" t="e">
        <f>((((P12*(IF('Zero value Calc'!$G$11="House",'Stage 1'!$V$12,0)+IF('Zero value Calc'!$G$11="Hotel / quest house",'Stage 1'!$V$18,0))*'Stage 1'!$V$33)*'Stage 1'!$K$52)/1000000)*365.25)</f>
        <v>#DIV/0!</v>
      </c>
      <c r="Q13" s="64" t="e">
        <f>((((Q12*(IF('Zero value Calc'!$G$11="House",'Stage 1'!$V$12,0)+IF('Zero value Calc'!$G$11="Hotel / quest house",'Stage 1'!$V$18,0))*'Stage 1'!$V$33)*'Stage 1'!$K$52)/1000000)*365.25)</f>
        <v>#DIV/0!</v>
      </c>
      <c r="R13" s="64" t="e">
        <f>((((R12*(IF('Zero value Calc'!$G$11="House",'Stage 1'!$V$12,0)+IF('Zero value Calc'!$G$11="Hotel / quest house",'Stage 1'!$V$18,0))*'Stage 1'!$V$33)*'Stage 1'!$K$52)/1000000)*365.25)</f>
        <v>#DIV/0!</v>
      </c>
      <c r="S13" s="64" t="e">
        <f>((((S12*(IF('Zero value Calc'!$G$11="House",'Stage 1'!$V$12,0)+IF('Zero value Calc'!$G$11="Hotel / quest house",'Stage 1'!$V$18,0))*'Stage 1'!$V$33)*'Stage 1'!$K$52)/1000000)*365.25)</f>
        <v>#DIV/0!</v>
      </c>
      <c r="T13" s="64" t="e">
        <f>((((T12*(IF('Zero value Calc'!$G$11="House",'Stage 1'!$V$12,0)+IF('Zero value Calc'!$G$11="Hotel / quest house",'Stage 1'!$V$18,0))*'Stage 1'!$V$33)*'Stage 1'!$K$52)/1000000)*365.25)</f>
        <v>#DIV/0!</v>
      </c>
      <c r="U13" s="64" t="e">
        <f>((((U12*(IF('Zero value Calc'!$G$11="House",'Stage 1'!$V$12,0)+IF('Zero value Calc'!$G$11="Hotel / quest house",'Stage 1'!$V$18,0))*'Stage 1'!$V$33)*'Stage 1'!$K$52)/1000000)*365.25)</f>
        <v>#DIV/0!</v>
      </c>
      <c r="V13" s="64" t="e">
        <f>((((V12*(IF('Zero value Calc'!$G$11="House",'Stage 1'!$V$12,0)+IF('Zero value Calc'!$G$11="Hotel / quest house",'Stage 1'!$V$18,0))*'Stage 1'!$V$33)*'Stage 1'!$K$52)/1000000)*365.25)</f>
        <v>#DIV/0!</v>
      </c>
      <c r="W13" s="64" t="e">
        <f>((((W12*(IF('Zero value Calc'!$G$11="House",'Stage 1'!$V$12,0)+IF('Zero value Calc'!$G$11="Hotel / quest house",'Stage 1'!$V$18,0))*'Stage 1'!$V$33)*'Stage 1'!$K$52)/1000000)*365.25)</f>
        <v>#DIV/0!</v>
      </c>
      <c r="X13" s="64" t="e">
        <f>((((X12*(IF('Zero value Calc'!$G$11="House",'Stage 1'!$V$12,0)+IF('Zero value Calc'!$G$11="Hotel / quest house",'Stage 1'!$V$18,0))*'Stage 1'!$V$33)*'Stage 1'!$K$52)/1000000)*365.25)</f>
        <v>#DIV/0!</v>
      </c>
      <c r="Y13" s="64" t="e">
        <f>((((Y12*(IF('Zero value Calc'!$G$11="House",'Stage 1'!$V$12,0)+IF('Zero value Calc'!$G$11="Hotel / quest house",'Stage 1'!$V$18,0))*'Stage 1'!$V$33)*'Stage 1'!$K$52)/1000000)*365.25)</f>
        <v>#DIV/0!</v>
      </c>
      <c r="Z13" s="64" t="e">
        <f>((((Z12*(IF('Zero value Calc'!$G$11="House",'Stage 1'!$V$12,0)+IF('Zero value Calc'!$G$11="Hotel / quest house",'Stage 1'!$V$18,0))*'Stage 1'!$V$33)*'Stage 1'!$K$52)/1000000)*365.25)</f>
        <v>#DIV/0!</v>
      </c>
      <c r="AA13" s="64"/>
      <c r="AB13" s="65" t="e">
        <f>((((AB12*(IF('Zero value Calc'!$G$11="House",'Stage 1'!$V$12,0)+IF('Zero value Calc'!$G$11="Hotel / quest house",'Stage 1'!$V$18,0)))*'Stage 1'!$V$33)*'Stage 1'!$K$52)/1000000)*365.25</f>
        <v>#DIV/0!</v>
      </c>
    </row>
    <row r="14" spans="2:28" ht="12" customHeight="1">
      <c r="B14" s="4"/>
      <c r="C14" s="5"/>
      <c r="D14" s="5"/>
      <c r="E14" s="61" t="s">
        <v>480</v>
      </c>
      <c r="F14" s="64" t="e">
        <f>F11+F13</f>
        <v>#DIV/0!</v>
      </c>
      <c r="G14" s="64" t="e">
        <f>G11+G13</f>
        <v>#DIV/0!</v>
      </c>
      <c r="H14" s="64" t="e">
        <f>H11+H13</f>
        <v>#DIV/0!</v>
      </c>
      <c r="I14" s="64" t="e">
        <f>I11+I13</f>
        <v>#DIV/0!</v>
      </c>
      <c r="J14" s="64" t="e">
        <f>J11+J13</f>
        <v>#DIV/0!</v>
      </c>
      <c r="K14" s="64" t="e">
        <f>K11+K13</f>
        <v>#DIV/0!</v>
      </c>
      <c r="L14" s="64" t="e">
        <f>L11+L13</f>
        <v>#DIV/0!</v>
      </c>
      <c r="M14" s="64" t="e">
        <f>M11+M13</f>
        <v>#DIV/0!</v>
      </c>
      <c r="N14" s="64" t="e">
        <f>N11+N13</f>
        <v>#DIV/0!</v>
      </c>
      <c r="O14" s="64" t="e">
        <f>O11+O13</f>
        <v>#DIV/0!</v>
      </c>
      <c r="P14" s="64" t="e">
        <f>P11+P13</f>
        <v>#DIV/0!</v>
      </c>
      <c r="Q14" s="64" t="e">
        <f>Q11+Q13</f>
        <v>#DIV/0!</v>
      </c>
      <c r="R14" s="64" t="e">
        <f>R11+R13</f>
        <v>#DIV/0!</v>
      </c>
      <c r="S14" s="64" t="e">
        <f>S11+S13</f>
        <v>#DIV/0!</v>
      </c>
      <c r="T14" s="64" t="e">
        <f>T11+T13</f>
        <v>#DIV/0!</v>
      </c>
      <c r="U14" s="64" t="e">
        <f>U11+U13</f>
        <v>#DIV/0!</v>
      </c>
      <c r="V14" s="64" t="e">
        <f>V11+V13</f>
        <v>#DIV/0!</v>
      </c>
      <c r="W14" s="64" t="e">
        <f>W11+W13</f>
        <v>#DIV/0!</v>
      </c>
      <c r="X14" s="64" t="e">
        <f>X11+X13</f>
        <v>#DIV/0!</v>
      </c>
      <c r="Y14" s="64" t="e">
        <f>Y11+Y13</f>
        <v>#DIV/0!</v>
      </c>
      <c r="Z14" s="64" t="e">
        <f>Z11+Z13</f>
        <v>#DIV/0!</v>
      </c>
      <c r="AA14" s="64"/>
      <c r="AB14" s="62" t="e">
        <f>AB11+AB13</f>
        <v>#DIV/0!</v>
      </c>
    </row>
    <row r="15" spans="2:28" ht="6.6" customHeight="1">
      <c r="B15" s="4"/>
      <c r="C15" s="5"/>
      <c r="D15" s="5"/>
      <c r="E15" s="42"/>
      <c r="F15" s="57"/>
      <c r="G15" s="57"/>
      <c r="H15" s="57"/>
      <c r="I15" s="57"/>
      <c r="J15" s="57"/>
      <c r="K15" s="57"/>
      <c r="L15" s="57"/>
      <c r="M15" s="57"/>
      <c r="N15" s="57"/>
      <c r="O15" s="57"/>
      <c r="P15" s="57"/>
      <c r="Q15" s="57"/>
      <c r="R15" s="57"/>
      <c r="S15" s="57"/>
      <c r="T15" s="57"/>
      <c r="U15" s="57"/>
      <c r="V15" s="57"/>
      <c r="W15" s="57"/>
      <c r="X15" s="57"/>
      <c r="Y15" s="57"/>
      <c r="Z15" s="57"/>
      <c r="AA15" s="57"/>
      <c r="AB15" s="109"/>
    </row>
    <row r="16" spans="2:28" ht="12" customHeight="1">
      <c r="B16" s="4"/>
      <c r="C16" s="5"/>
      <c r="D16" s="5"/>
      <c r="E16" s="42" t="s">
        <v>481</v>
      </c>
      <c r="F16" s="57"/>
      <c r="G16" s="57"/>
      <c r="H16" s="57"/>
      <c r="I16" s="57"/>
      <c r="J16" s="57"/>
      <c r="K16" s="57"/>
      <c r="L16" s="57"/>
      <c r="M16" s="57"/>
      <c r="N16" s="57"/>
      <c r="O16" s="57"/>
      <c r="P16" s="57"/>
      <c r="Q16" s="57"/>
      <c r="R16" s="57"/>
      <c r="S16" s="57"/>
      <c r="T16" s="57"/>
      <c r="U16" s="57"/>
      <c r="V16" s="57"/>
      <c r="W16" s="57"/>
      <c r="X16" s="57"/>
      <c r="Y16" s="57"/>
      <c r="Z16" s="57"/>
      <c r="AA16" s="57"/>
      <c r="AB16" s="109"/>
    </row>
    <row r="17" spans="2:28" ht="12" customHeight="1">
      <c r="B17" s="4"/>
      <c r="C17" s="5"/>
      <c r="D17" s="5"/>
      <c r="E17" s="61" t="s">
        <v>471</v>
      </c>
      <c r="F17" s="61">
        <v>100</v>
      </c>
      <c r="G17" s="61">
        <v>95</v>
      </c>
      <c r="H17" s="61">
        <v>90</v>
      </c>
      <c r="I17" s="61">
        <v>85</v>
      </c>
      <c r="J17" s="61">
        <v>80</v>
      </c>
      <c r="K17" s="61">
        <v>75</v>
      </c>
      <c r="L17" s="61">
        <v>70</v>
      </c>
      <c r="M17" s="61">
        <v>65</v>
      </c>
      <c r="N17" s="61">
        <v>60</v>
      </c>
      <c r="O17" s="61">
        <v>55</v>
      </c>
      <c r="P17" s="61">
        <v>50</v>
      </c>
      <c r="Q17" s="61">
        <v>45</v>
      </c>
      <c r="R17" s="61">
        <v>40</v>
      </c>
      <c r="S17" s="61">
        <v>35</v>
      </c>
      <c r="T17" s="61">
        <v>30</v>
      </c>
      <c r="U17" s="61">
        <v>25</v>
      </c>
      <c r="V17" s="61">
        <v>20</v>
      </c>
      <c r="W17" s="61">
        <v>15</v>
      </c>
      <c r="X17" s="61">
        <v>10</v>
      </c>
      <c r="Y17" s="61">
        <v>5</v>
      </c>
      <c r="Z17" s="61">
        <v>0</v>
      </c>
      <c r="AA17" s="61"/>
      <c r="AB17" s="62" t="e">
        <f>'Zero value Calc'!T20</f>
        <v>#DIV/0!</v>
      </c>
    </row>
    <row r="18" spans="2:28" ht="12" customHeight="1">
      <c r="B18" s="4"/>
      <c r="C18" s="5"/>
      <c r="D18" s="5"/>
      <c r="E18" s="61" t="s">
        <v>472</v>
      </c>
      <c r="F18" s="61">
        <v>0</v>
      </c>
      <c r="G18" s="61">
        <v>0.05</v>
      </c>
      <c r="H18" s="61">
        <v>0.1</v>
      </c>
      <c r="I18" s="61">
        <v>0.15</v>
      </c>
      <c r="J18" s="61">
        <v>0.2</v>
      </c>
      <c r="K18" s="61">
        <v>0.25</v>
      </c>
      <c r="L18" s="61">
        <v>0.3</v>
      </c>
      <c r="M18" s="61">
        <v>0.35</v>
      </c>
      <c r="N18" s="61">
        <v>0.4</v>
      </c>
      <c r="O18" s="61">
        <v>0.45</v>
      </c>
      <c r="P18" s="61">
        <v>0.5</v>
      </c>
      <c r="Q18" s="61">
        <v>0.55</v>
      </c>
      <c r="R18" s="61">
        <v>0.6</v>
      </c>
      <c r="S18" s="61">
        <v>0.65</v>
      </c>
      <c r="T18" s="61">
        <v>0.7</v>
      </c>
      <c r="U18" s="61">
        <v>0.75</v>
      </c>
      <c r="V18" s="61">
        <v>0.8</v>
      </c>
      <c r="W18" s="61">
        <v>0.85</v>
      </c>
      <c r="X18" s="61">
        <v>0.9</v>
      </c>
      <c r="Y18" s="61">
        <v>0.95</v>
      </c>
      <c r="Z18" s="61">
        <v>1</v>
      </c>
      <c r="AA18" s="61"/>
      <c r="AB18" s="63" t="e">
        <f>1-AB17/100</f>
        <v>#DIV/0!</v>
      </c>
    </row>
    <row r="19" spans="2:28" ht="12" customHeight="1">
      <c r="B19" s="4"/>
      <c r="C19" s="5"/>
      <c r="D19" s="5"/>
      <c r="E19" s="61" t="s">
        <v>473</v>
      </c>
      <c r="F19" s="64">
        <v>1</v>
      </c>
      <c r="G19" s="64">
        <v>0.95</v>
      </c>
      <c r="H19" s="64">
        <v>0.9</v>
      </c>
      <c r="I19" s="64">
        <v>0.85</v>
      </c>
      <c r="J19" s="64">
        <v>0.8</v>
      </c>
      <c r="K19" s="64">
        <v>0.75</v>
      </c>
      <c r="L19" s="64">
        <v>0.7</v>
      </c>
      <c r="M19" s="64">
        <v>0.65</v>
      </c>
      <c r="N19" s="64">
        <v>0.6</v>
      </c>
      <c r="O19" s="64">
        <v>0.55</v>
      </c>
      <c r="P19" s="64">
        <v>0.5</v>
      </c>
      <c r="Q19" s="64">
        <v>0.45</v>
      </c>
      <c r="R19" s="64">
        <v>0.399999999999999</v>
      </c>
      <c r="S19" s="64">
        <v>0.349999999999999</v>
      </c>
      <c r="T19" s="64">
        <v>0.299999999999999</v>
      </c>
      <c r="U19" s="64">
        <v>0.249999999999999</v>
      </c>
      <c r="V19" s="64">
        <v>0.199999999999999</v>
      </c>
      <c r="W19" s="64">
        <v>0.149999999999999</v>
      </c>
      <c r="X19" s="64">
        <v>0.099999999999999</v>
      </c>
      <c r="Y19" s="64">
        <v>0.049999999999999</v>
      </c>
      <c r="Z19" s="64">
        <v>-9.99200722162641E-16</v>
      </c>
      <c r="AA19" s="61"/>
      <c r="AB19" s="63" t="e">
        <f>AB17/100</f>
        <v>#DIV/0!</v>
      </c>
    </row>
    <row r="20" spans="2:28" ht="12" customHeight="1">
      <c r="B20" s="4"/>
      <c r="C20" s="5"/>
      <c r="D20" s="5"/>
      <c r="E20" s="61" t="s">
        <v>474</v>
      </c>
      <c r="F20" s="64">
        <f>('Stage 3'!$K$38)*'Graph Calculations'!F18</f>
        <v>0</v>
      </c>
      <c r="G20" s="64">
        <f>('Stage 3'!$K$38)*'Graph Calculations'!G18</f>
        <v>0</v>
      </c>
      <c r="H20" s="64">
        <f>('Stage 3'!$K$38)*'Graph Calculations'!H18</f>
        <v>0</v>
      </c>
      <c r="I20" s="64">
        <f>('Stage 3'!$K$38)*'Graph Calculations'!I18</f>
        <v>0</v>
      </c>
      <c r="J20" s="64">
        <f>('Stage 3'!$K$38)*'Graph Calculations'!J18</f>
        <v>0</v>
      </c>
      <c r="K20" s="64">
        <f>('Stage 3'!$K$38)*'Graph Calculations'!K18</f>
        <v>0</v>
      </c>
      <c r="L20" s="64">
        <f>('Stage 3'!$K$38)*'Graph Calculations'!L18</f>
        <v>0</v>
      </c>
      <c r="M20" s="64">
        <f>('Stage 3'!$K$38)*'Graph Calculations'!M18</f>
        <v>0</v>
      </c>
      <c r="N20" s="64">
        <f>('Stage 3'!$K$38)*'Graph Calculations'!N18</f>
        <v>0</v>
      </c>
      <c r="O20" s="64">
        <f>('Stage 3'!$K$38)*'Graph Calculations'!O18</f>
        <v>0</v>
      </c>
      <c r="P20" s="64">
        <f>('Stage 3'!$K$38)*'Graph Calculations'!P18</f>
        <v>0</v>
      </c>
      <c r="Q20" s="64">
        <f>('Stage 3'!$K$38)*'Graph Calculations'!Q18</f>
        <v>0</v>
      </c>
      <c r="R20" s="64">
        <f>('Stage 3'!$K$38)*'Graph Calculations'!R18</f>
        <v>0</v>
      </c>
      <c r="S20" s="64">
        <f>('Stage 3'!$K$38)*'Graph Calculations'!S18</f>
        <v>0</v>
      </c>
      <c r="T20" s="64">
        <f>('Stage 3'!$K$38)*'Graph Calculations'!T18</f>
        <v>0</v>
      </c>
      <c r="U20" s="64">
        <f>('Stage 3'!$K$38)*'Graph Calculations'!U18</f>
        <v>0</v>
      </c>
      <c r="V20" s="64">
        <f>('Stage 3'!$K$38)*'Graph Calculations'!V18</f>
        <v>0</v>
      </c>
      <c r="W20" s="64">
        <f>('Stage 3'!$K$38)*'Graph Calculations'!W18</f>
        <v>0</v>
      </c>
      <c r="X20" s="64">
        <f>('Stage 3'!$K$38)*'Graph Calculations'!X18</f>
        <v>0</v>
      </c>
      <c r="Y20" s="64">
        <f>('Stage 3'!$K$38)*'Graph Calculations'!Y18</f>
        <v>0</v>
      </c>
      <c r="Z20" s="64">
        <f>('Stage 3'!$K$38)*'Graph Calculations'!Z18</f>
        <v>0</v>
      </c>
      <c r="AA20" s="61"/>
      <c r="AB20" s="62" t="e">
        <f>('Stage 3'!$K$38)*'Graph Calculations'!AB18</f>
        <v>#DIV/0!</v>
      </c>
    </row>
    <row r="21" spans="2:28" ht="12" customHeight="1">
      <c r="B21" s="4"/>
      <c r="C21" s="5"/>
      <c r="D21" s="5"/>
      <c r="E21" s="61" t="s">
        <v>475</v>
      </c>
      <c r="F21" s="64">
        <f>('Zero value Calc'!$K$16*'Data Tables'!$P$9)*F19</f>
        <v>0</v>
      </c>
      <c r="G21" s="64">
        <f>('Zero value Calc'!$K$16*'Data Tables'!$P$9)*G19</f>
        <v>0</v>
      </c>
      <c r="H21" s="64">
        <f>('Zero value Calc'!$K$16*'Data Tables'!$P$9)*H19</f>
        <v>0</v>
      </c>
      <c r="I21" s="64">
        <f>('Zero value Calc'!$K$16*'Data Tables'!$P$9)*I19</f>
        <v>0</v>
      </c>
      <c r="J21" s="64">
        <f>('Zero value Calc'!$K$16*'Data Tables'!$P$9)*J19</f>
        <v>0</v>
      </c>
      <c r="K21" s="64">
        <f>('Zero value Calc'!$K$16*'Data Tables'!$P$9)*K19</f>
        <v>0</v>
      </c>
      <c r="L21" s="64">
        <f>('Zero value Calc'!$K$16*'Data Tables'!$P$9)*L19</f>
        <v>0</v>
      </c>
      <c r="M21" s="64">
        <f>('Zero value Calc'!$K$16*'Data Tables'!$P$9)*M19</f>
        <v>0</v>
      </c>
      <c r="N21" s="64">
        <f>('Zero value Calc'!$K$16*'Data Tables'!$P$9)*N19</f>
        <v>0</v>
      </c>
      <c r="O21" s="64">
        <f>('Zero value Calc'!$K$16*'Data Tables'!$P$9)*O19</f>
        <v>0</v>
      </c>
      <c r="P21" s="64">
        <f>('Zero value Calc'!$K$16*'Data Tables'!$P$9)*P19</f>
        <v>0</v>
      </c>
      <c r="Q21" s="64">
        <f>('Zero value Calc'!$K$16*'Data Tables'!$P$9)*Q19</f>
        <v>0</v>
      </c>
      <c r="R21" s="64">
        <f>('Zero value Calc'!$K$16*'Data Tables'!$P$9)*R19</f>
        <v>0</v>
      </c>
      <c r="S21" s="64">
        <f>('Zero value Calc'!$K$16*'Data Tables'!$P$9)*S19</f>
        <v>0</v>
      </c>
      <c r="T21" s="64">
        <f>('Zero value Calc'!$K$16*'Data Tables'!$P$9)*T19</f>
        <v>0</v>
      </c>
      <c r="U21" s="64">
        <f>('Zero value Calc'!$K$16*'Data Tables'!$P$9)*U19</f>
        <v>0</v>
      </c>
      <c r="V21" s="64">
        <f>('Zero value Calc'!$K$16*'Data Tables'!$P$9)*V19</f>
        <v>0</v>
      </c>
      <c r="W21" s="64">
        <f>('Zero value Calc'!$K$16*'Data Tables'!$P$9)*W19</f>
        <v>0</v>
      </c>
      <c r="X21" s="64">
        <f>('Zero value Calc'!$K$16*'Data Tables'!$P$9)*X19</f>
        <v>0</v>
      </c>
      <c r="Y21" s="64">
        <f>('Zero value Calc'!$K$16*'Data Tables'!$P$9)*Y19</f>
        <v>0</v>
      </c>
      <c r="Z21" s="64">
        <f>('Zero value Calc'!$K$16*'Data Tables'!$P$9)*Z19</f>
        <v>0</v>
      </c>
      <c r="AA21" s="64"/>
      <c r="AB21" s="62" t="e">
        <f>('Zero value Calc'!$K$16*'Data Tables'!$O$9)*AB19</f>
        <v>#DIV/0!</v>
      </c>
    </row>
    <row r="22" spans="2:28" ht="12" customHeight="1">
      <c r="B22" s="4"/>
      <c r="C22" s="5"/>
      <c r="D22" s="5"/>
      <c r="E22" s="61" t="s">
        <v>476</v>
      </c>
      <c r="F22" s="64">
        <f>SUM(F20:F21)</f>
        <v>0</v>
      </c>
      <c r="G22" s="64">
        <f>SUM(G20:G21)</f>
        <v>0</v>
      </c>
      <c r="H22" s="64">
        <f>SUM(H20:H21)</f>
        <v>0</v>
      </c>
      <c r="I22" s="64">
        <f>SUM(I20:I21)</f>
        <v>0</v>
      </c>
      <c r="J22" s="64">
        <f>SUM(J20:J21)</f>
        <v>0</v>
      </c>
      <c r="K22" s="64">
        <f>SUM(K20:K21)</f>
        <v>0</v>
      </c>
      <c r="L22" s="64">
        <f>SUM(L20:L21)</f>
        <v>0</v>
      </c>
      <c r="M22" s="64">
        <f>SUM(M20:M21)</f>
        <v>0</v>
      </c>
      <c r="N22" s="64">
        <f>SUM(N20:N21)</f>
        <v>0</v>
      </c>
      <c r="O22" s="64">
        <f>SUM(O20:O21)</f>
        <v>0</v>
      </c>
      <c r="P22" s="64">
        <f>SUM(P20:P21)</f>
        <v>0</v>
      </c>
      <c r="Q22" s="64">
        <f>SUM(Q20:Q21)</f>
        <v>0</v>
      </c>
      <c r="R22" s="64">
        <f>SUM(R20:R21)</f>
        <v>0</v>
      </c>
      <c r="S22" s="64">
        <f>SUM(S20:S21)</f>
        <v>0</v>
      </c>
      <c r="T22" s="64">
        <f>SUM(T20:T21)</f>
        <v>0</v>
      </c>
      <c r="U22" s="64">
        <f>SUM(U20:U21)</f>
        <v>0</v>
      </c>
      <c r="V22" s="64">
        <f>SUM(V20:V21)</f>
        <v>0</v>
      </c>
      <c r="W22" s="64">
        <f>SUM(W20:W21)</f>
        <v>0</v>
      </c>
      <c r="X22" s="64">
        <f>SUM(X20:X21)</f>
        <v>0</v>
      </c>
      <c r="Y22" s="64">
        <f>SUM(Y20:Y21)</f>
        <v>0</v>
      </c>
      <c r="Z22" s="64">
        <f>SUM(Z20:Z21)</f>
        <v>0</v>
      </c>
      <c r="AA22" s="64"/>
      <c r="AB22" s="62" t="e">
        <f>SUM(AB20:AB21)</f>
        <v>#DIV/0!</v>
      </c>
    </row>
    <row r="23" spans="2:28" ht="12" customHeight="1">
      <c r="B23" s="4"/>
      <c r="C23" s="5"/>
      <c r="D23" s="5"/>
      <c r="E23" s="61" t="s">
        <v>477</v>
      </c>
      <c r="F23" s="64">
        <f>F22-'Zero value Calc'!$K$20</f>
        <v>0</v>
      </c>
      <c r="G23" s="64">
        <f>G22-'Zero value Calc'!$K$20</f>
        <v>0</v>
      </c>
      <c r="H23" s="64">
        <f>H22-'Zero value Calc'!$K$20</f>
        <v>0</v>
      </c>
      <c r="I23" s="64">
        <f>I22-'Zero value Calc'!$K$20</f>
        <v>0</v>
      </c>
      <c r="J23" s="64">
        <f>J22-'Zero value Calc'!$K$20</f>
        <v>0</v>
      </c>
      <c r="K23" s="64">
        <f>K22-'Zero value Calc'!$K$20</f>
        <v>0</v>
      </c>
      <c r="L23" s="64">
        <f>L22-'Zero value Calc'!$K$20</f>
        <v>0</v>
      </c>
      <c r="M23" s="64">
        <f>M22-'Zero value Calc'!$K$20</f>
        <v>0</v>
      </c>
      <c r="N23" s="64">
        <f>N22-'Zero value Calc'!$K$20</f>
        <v>0</v>
      </c>
      <c r="O23" s="64">
        <f>O22-'Zero value Calc'!$K$20</f>
        <v>0</v>
      </c>
      <c r="P23" s="64">
        <f>P22-'Zero value Calc'!$K$20</f>
        <v>0</v>
      </c>
      <c r="Q23" s="64">
        <f>Q22-'Zero value Calc'!$K$20</f>
        <v>0</v>
      </c>
      <c r="R23" s="64">
        <f>R22-'Zero value Calc'!$K$20</f>
        <v>0</v>
      </c>
      <c r="S23" s="64">
        <f>S22-'Zero value Calc'!$K$20</f>
        <v>0</v>
      </c>
      <c r="T23" s="64">
        <f>T22-'Zero value Calc'!$K$20</f>
        <v>0</v>
      </c>
      <c r="U23" s="64">
        <f>U22-'Zero value Calc'!$K$20</f>
        <v>0</v>
      </c>
      <c r="V23" s="64">
        <f>V22-'Zero value Calc'!$K$20</f>
        <v>0</v>
      </c>
      <c r="W23" s="64">
        <f>W22-'Zero value Calc'!$K$20</f>
        <v>0</v>
      </c>
      <c r="X23" s="64">
        <f>X22-'Zero value Calc'!$K$20</f>
        <v>0</v>
      </c>
      <c r="Y23" s="64">
        <f>Y22-'Zero value Calc'!$K$20</f>
        <v>0</v>
      </c>
      <c r="Z23" s="64">
        <f>Z22-'Zero value Calc'!$K$20</f>
        <v>0</v>
      </c>
      <c r="AA23" s="64"/>
      <c r="AB23" s="62" t="e">
        <f>AB22-'Zero value Calc'!$K$20</f>
        <v>#DIV/0!</v>
      </c>
    </row>
    <row r="24" spans="2:28" ht="12" customHeight="1">
      <c r="B24" s="4"/>
      <c r="C24" s="5"/>
      <c r="D24" s="5"/>
      <c r="E24" s="61" t="s">
        <v>478</v>
      </c>
      <c r="F24" s="64" t="e">
        <f>('Zero value Calc'!$K$15/'Zero value Calc'!$K$16)*(F18*'Zero value Calc'!$K$16)</f>
        <v>#DIV/0!</v>
      </c>
      <c r="G24" s="64" t="e">
        <f>('Zero value Calc'!$K$15/'Zero value Calc'!$K$16)*(G18*'Zero value Calc'!$K$16)</f>
        <v>#DIV/0!</v>
      </c>
      <c r="H24" s="64" t="e">
        <f>('Zero value Calc'!$K$15/'Zero value Calc'!$K$16)*(H18*'Zero value Calc'!$K$16)</f>
        <v>#DIV/0!</v>
      </c>
      <c r="I24" s="64" t="e">
        <f>('Zero value Calc'!$K$15/'Zero value Calc'!$K$16)*(I18*'Zero value Calc'!$K$16)</f>
        <v>#DIV/0!</v>
      </c>
      <c r="J24" s="64" t="e">
        <f>('Zero value Calc'!$K$15/'Zero value Calc'!$K$16)*(J18*'Zero value Calc'!$K$16)</f>
        <v>#DIV/0!</v>
      </c>
      <c r="K24" s="64" t="e">
        <f>('Zero value Calc'!$K$15/'Zero value Calc'!$K$16)*(K18*'Zero value Calc'!$K$16)</f>
        <v>#DIV/0!</v>
      </c>
      <c r="L24" s="64" t="e">
        <f>('Zero value Calc'!$K$15/'Zero value Calc'!$K$16)*(L18*'Zero value Calc'!$K$16)</f>
        <v>#DIV/0!</v>
      </c>
      <c r="M24" s="64" t="e">
        <f>('Zero value Calc'!$K$15/'Zero value Calc'!$K$16)*(M18*'Zero value Calc'!$K$16)</f>
        <v>#DIV/0!</v>
      </c>
      <c r="N24" s="64" t="e">
        <f>('Zero value Calc'!$K$15/'Zero value Calc'!$K$16)*(N18*'Zero value Calc'!$K$16)</f>
        <v>#DIV/0!</v>
      </c>
      <c r="O24" s="64" t="e">
        <f>('Zero value Calc'!$K$15/'Zero value Calc'!$K$16)*(O18*'Zero value Calc'!$K$16)</f>
        <v>#DIV/0!</v>
      </c>
      <c r="P24" s="64" t="e">
        <f>('Zero value Calc'!$K$15/'Zero value Calc'!$K$16)*(P18*'Zero value Calc'!$K$16)</f>
        <v>#DIV/0!</v>
      </c>
      <c r="Q24" s="64" t="e">
        <f>('Zero value Calc'!$K$15/'Zero value Calc'!$K$16)*(Q18*'Zero value Calc'!$K$16)</f>
        <v>#DIV/0!</v>
      </c>
      <c r="R24" s="64" t="e">
        <f>('Zero value Calc'!$K$15/'Zero value Calc'!$K$16)*(R18*'Zero value Calc'!$K$16)</f>
        <v>#DIV/0!</v>
      </c>
      <c r="S24" s="64" t="e">
        <f>('Zero value Calc'!$K$15/'Zero value Calc'!$K$16)*(S18*'Zero value Calc'!$K$16)</f>
        <v>#DIV/0!</v>
      </c>
      <c r="T24" s="64" t="e">
        <f>('Zero value Calc'!$K$15/'Zero value Calc'!$K$16)*(T18*'Zero value Calc'!$K$16)</f>
        <v>#DIV/0!</v>
      </c>
      <c r="U24" s="64" t="e">
        <f>('Zero value Calc'!$K$15/'Zero value Calc'!$K$16)*(U18*'Zero value Calc'!$K$16)</f>
        <v>#DIV/0!</v>
      </c>
      <c r="V24" s="64" t="e">
        <f>('Zero value Calc'!$K$15/'Zero value Calc'!$K$16)*(V18*'Zero value Calc'!$K$16)</f>
        <v>#DIV/0!</v>
      </c>
      <c r="W24" s="64" t="e">
        <f>('Zero value Calc'!$K$15/'Zero value Calc'!$K$16)*(W18*'Zero value Calc'!$K$16)</f>
        <v>#DIV/0!</v>
      </c>
      <c r="X24" s="64" t="e">
        <f>('Zero value Calc'!$K$15/'Zero value Calc'!$K$16)*(X18*'Zero value Calc'!$K$16)</f>
        <v>#DIV/0!</v>
      </c>
      <c r="Y24" s="64" t="e">
        <f>('Zero value Calc'!$K$15/'Zero value Calc'!$K$16)*(Y18*'Zero value Calc'!$K$16)</f>
        <v>#DIV/0!</v>
      </c>
      <c r="Z24" s="64" t="e">
        <f>('Zero value Calc'!$K$15/'Zero value Calc'!$K$16)*(Z18*'Zero value Calc'!$K$16)</f>
        <v>#DIV/0!</v>
      </c>
      <c r="AA24" s="64"/>
      <c r="AB24" s="62" t="e">
        <f>('Zero value Calc'!$K$15/'Zero value Calc'!$K$16)*(AB18*'Zero value Calc'!$K$16)</f>
        <v>#DIV/0!</v>
      </c>
    </row>
    <row r="25" spans="2:28" ht="12" customHeight="1">
      <c r="B25" s="4"/>
      <c r="C25" s="5"/>
      <c r="D25" s="5"/>
      <c r="E25" s="61" t="s">
        <v>479</v>
      </c>
      <c r="F25" s="64" t="e">
        <f>((((F24*(IF('Zero value Calc'!$G$11="House",'Stage 1'!$V$12,0)+IF('Zero value Calc'!$G$11="Hotel / quest house",'Stage 1'!$V$18,0))*'Stage 1'!$V$33)*'Stage 1'!$K$53)/1000000)*365.25)</f>
        <v>#DIV/0!</v>
      </c>
      <c r="G25" s="64" t="e">
        <f>((((G24*(IF('Zero value Calc'!$G$11="House",'Stage 1'!$V$12,0)+IF('Zero value Calc'!$G$11="Hotel / quest house",'Stage 1'!$V$18,0))*'Stage 1'!$V$33)*'Stage 1'!$K$53)/1000000)*365.25)</f>
        <v>#DIV/0!</v>
      </c>
      <c r="H25" s="64" t="e">
        <f>((((H24*(IF('Zero value Calc'!$G$11="House",'Stage 1'!$V$12,0)+IF('Zero value Calc'!$G$11="Hotel / quest house",'Stage 1'!$V$18,0))*'Stage 1'!$V$33)*'Stage 1'!$K$53)/1000000)*365.25)</f>
        <v>#DIV/0!</v>
      </c>
      <c r="I25" s="64" t="e">
        <f>((((I24*(IF('Zero value Calc'!$G$11="House",'Stage 1'!$V$12,0)+IF('Zero value Calc'!$G$11="Hotel / quest house",'Stage 1'!$V$18,0))*'Stage 1'!$V$33)*'Stage 1'!$K$53)/1000000)*365.25)</f>
        <v>#DIV/0!</v>
      </c>
      <c r="J25" s="64" t="e">
        <f>((((J24*(IF('Zero value Calc'!$G$11="House",'Stage 1'!$V$12,0)+IF('Zero value Calc'!$G$11="Hotel / quest house",'Stage 1'!$V$18,0))*'Stage 1'!$V$33)*'Stage 1'!$K$53)/1000000)*365.25)</f>
        <v>#DIV/0!</v>
      </c>
      <c r="K25" s="64" t="e">
        <f>((((K24*(IF('Zero value Calc'!$G$11="House",'Stage 1'!$V$12,0)+IF('Zero value Calc'!$G$11="Hotel / quest house",'Stage 1'!$V$18,0))*'Stage 1'!$V$33)*'Stage 1'!$K$53)/1000000)*365.25)</f>
        <v>#DIV/0!</v>
      </c>
      <c r="L25" s="64" t="e">
        <f>((((L24*(IF('Zero value Calc'!$G$11="House",'Stage 1'!$V$12,0)+IF('Zero value Calc'!$G$11="Hotel / quest house",'Stage 1'!$V$18,0))*'Stage 1'!$V$33)*'Stage 1'!$K$53)/1000000)*365.25)</f>
        <v>#DIV/0!</v>
      </c>
      <c r="M25" s="64" t="e">
        <f>((((M24*(IF('Zero value Calc'!$G$11="House",'Stage 1'!$V$12,0)+IF('Zero value Calc'!$G$11="Hotel / quest house",'Stage 1'!$V$18,0))*'Stage 1'!$V$33)*'Stage 1'!$K$53)/1000000)*365.25)</f>
        <v>#DIV/0!</v>
      </c>
      <c r="N25" s="64" t="e">
        <f>((((N24*(IF('Zero value Calc'!$G$11="House",'Stage 1'!$V$12,0)+IF('Zero value Calc'!$G$11="Hotel / quest house",'Stage 1'!$V$18,0))*'Stage 1'!$V$33)*'Stage 1'!$K$53)/1000000)*365.25)</f>
        <v>#DIV/0!</v>
      </c>
      <c r="O25" s="64" t="e">
        <f>((((O24*(IF('Zero value Calc'!$G$11="House",'Stage 1'!$V$12,0)+IF('Zero value Calc'!$G$11="Hotel / quest house",'Stage 1'!$V$18,0))*'Stage 1'!$V$33)*'Stage 1'!$K$53)/1000000)*365.25)</f>
        <v>#DIV/0!</v>
      </c>
      <c r="P25" s="64" t="e">
        <f>((((P24*(IF('Zero value Calc'!$G$11="House",'Stage 1'!$V$12,0)+IF('Zero value Calc'!$G$11="Hotel / quest house",'Stage 1'!$V$18,0))*'Stage 1'!$V$33)*'Stage 1'!$K$53)/1000000)*365.25)</f>
        <v>#DIV/0!</v>
      </c>
      <c r="Q25" s="64" t="e">
        <f>((((Q24*(IF('Zero value Calc'!$G$11="House",'Stage 1'!$V$12,0)+IF('Zero value Calc'!$G$11="Hotel / quest house",'Stage 1'!$V$18,0))*'Stage 1'!$V$33)*'Stage 1'!$K$53)/1000000)*365.25)</f>
        <v>#DIV/0!</v>
      </c>
      <c r="R25" s="64" t="e">
        <f>((((R24*(IF('Zero value Calc'!$G$11="House",'Stage 1'!$V$12,0)+IF('Zero value Calc'!$G$11="Hotel / quest house",'Stage 1'!$V$18,0))*'Stage 1'!$V$33)*'Stage 1'!$K$53)/1000000)*365.25)</f>
        <v>#DIV/0!</v>
      </c>
      <c r="S25" s="64" t="e">
        <f>((((S24*(IF('Zero value Calc'!$G$11="House",'Stage 1'!$V$12,0)+IF('Zero value Calc'!$G$11="Hotel / quest house",'Stage 1'!$V$18,0))*'Stage 1'!$V$33)*'Stage 1'!$K$53)/1000000)*365.25)</f>
        <v>#DIV/0!</v>
      </c>
      <c r="T25" s="64" t="e">
        <f>((((T24*(IF('Zero value Calc'!$G$11="House",'Stage 1'!$V$12,0)+IF('Zero value Calc'!$G$11="Hotel / quest house",'Stage 1'!$V$18,0))*'Stage 1'!$V$33)*'Stage 1'!$K$53)/1000000)*365.25)</f>
        <v>#DIV/0!</v>
      </c>
      <c r="U25" s="64" t="e">
        <f>((((U24*(IF('Zero value Calc'!$G$11="House",'Stage 1'!$V$12,0)+IF('Zero value Calc'!$G$11="Hotel / quest house",'Stage 1'!$V$18,0))*'Stage 1'!$V$33)*'Stage 1'!$K$53)/1000000)*365.25)</f>
        <v>#DIV/0!</v>
      </c>
      <c r="V25" s="64" t="e">
        <f>((((V24*(IF('Zero value Calc'!$G$11="House",'Stage 1'!$V$12,0)+IF('Zero value Calc'!$G$11="Hotel / quest house",'Stage 1'!$V$18,0))*'Stage 1'!$V$33)*'Stage 1'!$K$53)/1000000)*365.25)</f>
        <v>#DIV/0!</v>
      </c>
      <c r="W25" s="64" t="e">
        <f>((((W24*(IF('Zero value Calc'!$G$11="House",'Stage 1'!$V$12,0)+IF('Zero value Calc'!$G$11="Hotel / quest house",'Stage 1'!$V$18,0))*'Stage 1'!$V$33)*'Stage 1'!$K$53)/1000000)*365.25)</f>
        <v>#DIV/0!</v>
      </c>
      <c r="X25" s="64" t="e">
        <f>((((X24*(IF('Zero value Calc'!$G$11="House",'Stage 1'!$V$12,0)+IF('Zero value Calc'!$G$11="Hotel / quest house",'Stage 1'!$V$18,0))*'Stage 1'!$V$33)*'Stage 1'!$K$53)/1000000)*365.25)</f>
        <v>#DIV/0!</v>
      </c>
      <c r="Y25" s="64" t="e">
        <f>((((Y24*(IF('Zero value Calc'!$G$11="House",'Stage 1'!$V$12,0)+IF('Zero value Calc'!$G$11="Hotel / quest house",'Stage 1'!$V$18,0))*'Stage 1'!$V$33)*'Stage 1'!$K$53)/1000000)*365.25)</f>
        <v>#DIV/0!</v>
      </c>
      <c r="Z25" s="64" t="e">
        <f>((((Z24*(IF('Zero value Calc'!$G$11="House",'Stage 1'!$V$12,0)+IF('Zero value Calc'!$G$11="Hotel / quest house",'Stage 1'!$V$18,0))*'Stage 1'!$V$33)*'Stage 1'!$K$53)/1000000)*365.25)</f>
        <v>#DIV/0!</v>
      </c>
      <c r="AA25" s="64"/>
      <c r="AB25" s="65" t="e">
        <f>((((AB24*(IF('Zero value Calc'!$G$11="House",'Stage 1'!$V$12,0)+IF('Zero value Calc'!$G$11="Hotel / quest house",'Stage 1'!$V$18,0)))*'Stage 1'!$V$33)*'Stage 1'!$K$53)/1000000)*365.25</f>
        <v>#DIV/0!</v>
      </c>
    </row>
    <row r="26" spans="2:28" ht="12" customHeight="1">
      <c r="B26" s="4"/>
      <c r="C26" s="5"/>
      <c r="D26" s="5"/>
      <c r="E26" s="61" t="s">
        <v>480</v>
      </c>
      <c r="F26" s="64" t="e">
        <f>F23+F25</f>
        <v>#DIV/0!</v>
      </c>
      <c r="G26" s="64" t="e">
        <f>G23+G25</f>
        <v>#DIV/0!</v>
      </c>
      <c r="H26" s="64" t="e">
        <f>H23+H25</f>
        <v>#DIV/0!</v>
      </c>
      <c r="I26" s="64" t="e">
        <f>I23+I25</f>
        <v>#DIV/0!</v>
      </c>
      <c r="J26" s="64" t="e">
        <f>J23+J25</f>
        <v>#DIV/0!</v>
      </c>
      <c r="K26" s="64" t="e">
        <f>K23+K25</f>
        <v>#DIV/0!</v>
      </c>
      <c r="L26" s="64" t="e">
        <f>L23+L25</f>
        <v>#DIV/0!</v>
      </c>
      <c r="M26" s="64" t="e">
        <f>M23+M25</f>
        <v>#DIV/0!</v>
      </c>
      <c r="N26" s="64" t="e">
        <f>N23+N25</f>
        <v>#DIV/0!</v>
      </c>
      <c r="O26" s="64" t="e">
        <f>O23+O25</f>
        <v>#DIV/0!</v>
      </c>
      <c r="P26" s="64" t="e">
        <f>P23+P25</f>
        <v>#DIV/0!</v>
      </c>
      <c r="Q26" s="64" t="e">
        <f>Q23+Q25</f>
        <v>#DIV/0!</v>
      </c>
      <c r="R26" s="64" t="e">
        <f>R23+R25</f>
        <v>#DIV/0!</v>
      </c>
      <c r="S26" s="64" t="e">
        <f>S23+S25</f>
        <v>#DIV/0!</v>
      </c>
      <c r="T26" s="64" t="e">
        <f>T23+T25</f>
        <v>#DIV/0!</v>
      </c>
      <c r="U26" s="64" t="e">
        <f>U23+U25</f>
        <v>#DIV/0!</v>
      </c>
      <c r="V26" s="64" t="e">
        <f>V23+V25</f>
        <v>#DIV/0!</v>
      </c>
      <c r="W26" s="64" t="e">
        <f>W23+W25</f>
        <v>#DIV/0!</v>
      </c>
      <c r="X26" s="64" t="e">
        <f>X23+X25</f>
        <v>#DIV/0!</v>
      </c>
      <c r="Y26" s="64" t="e">
        <f>Y23+Y25</f>
        <v>#DIV/0!</v>
      </c>
      <c r="Z26" s="64" t="e">
        <f>Z23+Z25</f>
        <v>#DIV/0!</v>
      </c>
      <c r="AA26" s="64"/>
      <c r="AB26" s="62" t="e">
        <f>AB23+AB25</f>
        <v>#DIV/0!</v>
      </c>
    </row>
    <row r="27" spans="2:28" ht="11.7" customHeight="1" thickBot="1">
      <c r="B27" s="7"/>
      <c r="C27" s="8"/>
      <c r="D27" s="8"/>
      <c r="E27" s="8"/>
      <c r="F27" s="8"/>
      <c r="G27" s="8"/>
      <c r="H27" s="8"/>
      <c r="I27" s="8"/>
      <c r="J27" s="8"/>
      <c r="K27" s="8"/>
      <c r="L27" s="8"/>
      <c r="M27" s="8"/>
      <c r="N27" s="8"/>
      <c r="O27" s="8"/>
      <c r="P27" s="8"/>
      <c r="Q27" s="8"/>
      <c r="R27" s="8"/>
      <c r="S27" s="8"/>
      <c r="T27" s="8"/>
      <c r="U27" s="8"/>
      <c r="V27" s="8"/>
      <c r="W27" s="8"/>
      <c r="X27" s="8"/>
      <c r="Y27" s="8"/>
      <c r="Z27" s="8"/>
      <c r="AA27" s="8"/>
      <c r="AB27" s="9"/>
    </row>
    <row r="29" ht="6.6" customHeight="1"/>
    <row r="34" ht="6" customHeight="1"/>
    <row r="35" ht="16.2" customHeight="1"/>
    <row r="36" ht="15" customHeight="1"/>
    <row r="37" spans="4:4">
      <c r="D37" t="s">
        <v>467</v>
      </c>
    </row>
    <row r="38" ht="12.6" customHeight="1"/>
    <row r="39" spans="4:4" ht="23.7" customHeight="1">
      <c r="D39" t="s">
        <v>468</v>
      </c>
    </row>
    <row r="40" ht="1.5" customHeight="1"/>
    <row r="41" spans="4:4">
      <c r="D41" t="s">
        <v>469</v>
      </c>
    </row>
    <row r="43" ht="6.6" customHeight="1"/>
    <row r="47" ht="12.6" customHeight="1"/>
    <row r="48" ht="35.7" customHeight="1"/>
    <row r="49" customHeight="1"/>
    <row r="50" customHeight="1"/>
    <row r="51" ht="35.7" customHeight="1"/>
    <row r="52" spans="4:4" ht="6" customHeight="1" thickBot="1">
      <c r="D52" s="36"/>
    </row>
    <row r="54" spans="12:12">
      <c r="L54" s="13"/>
    </row>
    <row r="55" spans="5:9">
      <c r="E55" s="16"/>
      <c r="F55" s="16"/>
      <c r="I55" s="16"/>
    </row>
    <row r="58" spans="9:9">
      <c r="I58" s="13"/>
    </row>
    <row r="59" spans="9:9">
      <c r="I59" s="13"/>
    </row>
    <row r="60" spans="9:9">
      <c r="I60" s="13"/>
    </row>
    <row r="61" spans="5:9">
      <c r="E61" s="14"/>
      <c r="I61" s="13"/>
    </row>
    <row r="62" spans="9:9">
      <c r="I62" s="13"/>
    </row>
    <row r="67" spans="10:11">
      <c r="J67" s="16"/>
      <c r="K67" s="16"/>
    </row>
  </sheetData>
  <pageMargins left="0.70866141732283472" right="0.70866141732283472" top="0.74803149606299213" bottom="0.74803149606299213" header="0.31496062992125984" footer="0.31496062992125984"/>
  <pageSetup paperSize="9" scale="76" orientation="landscape" horizontalDpi="360" verticalDpi="360"/>
  <headerFooter scaleWithDoc="1" alignWithMargins="1" differentFirst="0" differentOddEven="0">
    <oddHeader>&amp;LPhosphate Budget Calculator&amp;CStage 4</oddHeader>
    <oddFooter>&amp;LVersion 2.2&amp;R&amp;D</oddFooter>
  </headerFooter>
  <customProperties>
    <customPr name="SSC_SHEET_GUID" r:id="rId2"/>
  </customProperties>
  <extLst/>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79998168889431442"/>
  </sheetPr>
  <dimension ref="A1:R3"/>
  <sheetViews>
    <sheetView zoomScale="71" view="normal" workbookViewId="0">
      <selection pane="topLeft" activeCell="A2" sqref="A2:R3"/>
    </sheetView>
  </sheetViews>
  <sheetFormatPr defaultRowHeight="13.2"/>
  <sheetData>
    <row r="1" spans="1:1" ht="13.8">
      <c r="A1" s="40" t="s">
        <v>482</v>
      </c>
    </row>
    <row r="2" spans="1:18">
      <c r="A2" s="447" t="s">
        <v>483</v>
      </c>
      <c r="B2" s="447"/>
      <c r="C2" s="447"/>
      <c r="D2" s="447"/>
      <c r="E2" s="447"/>
      <c r="F2" s="447"/>
      <c r="G2" s="447"/>
      <c r="H2" s="447"/>
      <c r="I2" s="447"/>
      <c r="J2" s="447"/>
      <c r="K2" s="447"/>
      <c r="L2" s="447"/>
      <c r="M2" s="447"/>
      <c r="N2" s="447"/>
      <c r="O2" s="447"/>
      <c r="P2" s="447"/>
      <c r="Q2" s="447"/>
      <c r="R2" s="447"/>
    </row>
    <row r="3" spans="1:18" ht="37.5" customHeight="1">
      <c r="A3" s="447"/>
      <c r="B3" s="447"/>
      <c r="C3" s="447"/>
      <c r="D3" s="447"/>
      <c r="E3" s="447"/>
      <c r="F3" s="447"/>
      <c r="G3" s="447"/>
      <c r="H3" s="447"/>
      <c r="I3" s="447"/>
      <c r="J3" s="447"/>
      <c r="K3" s="447"/>
      <c r="L3" s="447"/>
      <c r="M3" s="447"/>
      <c r="N3" s="447"/>
      <c r="O3" s="447"/>
      <c r="P3" s="447"/>
      <c r="Q3" s="447"/>
      <c r="R3" s="447"/>
    </row>
  </sheetData>
  <sheetProtection algorithmName="SHA-512" hashValue="SRV5xmZSs/bMHpzhNU5j8H8SpCwimxjPjF3KsRbJORr3/+I0zXNZ+4r0JicCIQUgdSeXo0zG3IqRdfidJfx3IQ==" saltValue="wsae/1ukfaXiop+3B2pjmw==" spinCount="100000" sheet="1" objects="1" scenarios="1" selectLockedCells="1"/>
  <mergeCells count="1">
    <mergeCell ref="A2:R3"/>
  </mergeCells>
  <pageMargins left="0.7" right="0.7" top="0.75" bottom="0.75" header="0.3" footer="0.3"/>
  <headerFooter scaleWithDoc="1" alignWithMargins="0" differentFirst="0" differentOddEven="0"/>
  <customProperties>
    <customPr name="SSC_SHEET_GUID" r:id="rId1"/>
  </customProperties>
  <drawing r:id="rId2"/>
  <extLst/>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B2:BG924"/>
  <sheetViews>
    <sheetView zoomScale="85" view="normal" workbookViewId="0">
      <selection pane="topLeft" activeCell="L2" sqref="L2"/>
    </sheetView>
  </sheetViews>
  <sheetFormatPr defaultRowHeight="13.2"/>
  <cols>
    <col min="2" max="2" width="32" customWidth="1"/>
    <col min="3" max="3" width="9.5703125" bestFit="1" customWidth="1"/>
    <col min="4" max="4" width="14" customWidth="1"/>
    <col min="5" max="5" width="15" customWidth="1"/>
    <col min="6" max="6" width="12.27734375" bestFit="1" customWidth="1"/>
    <col min="7" max="8" width="12.41796875" customWidth="1"/>
    <col min="9" max="9" width="14" hidden="1" customWidth="1"/>
    <col min="10" max="11" width="12.5703125" customWidth="1"/>
    <col min="12" max="12" width="6.7109375" customWidth="1"/>
    <col min="13" max="13" width="5.5703125" customWidth="1"/>
    <col min="14" max="14" width="11.7109375" customWidth="1"/>
    <col min="15" max="15" width="12.41796875" customWidth="1"/>
    <col min="16" max="16" width="15.5703125" customWidth="1"/>
    <col min="17" max="17" width="5.5703125" customWidth="1"/>
    <col min="18" max="18" width="16.27734375" customWidth="1"/>
    <col min="19" max="19" width="6.7109375" customWidth="1"/>
    <col min="20" max="20" width="7.27734375" customWidth="1"/>
    <col min="21" max="21" width="9.7109375" customWidth="1"/>
    <col min="22" max="22" width="8.7109375" customWidth="1"/>
    <col min="23" max="24" width="7.7109375" customWidth="1"/>
    <col min="25" max="25" width="8" customWidth="1"/>
    <col min="26" max="26" width="9.41796875" customWidth="1"/>
    <col min="27" max="27" width="7.7109375" customWidth="1"/>
    <col min="28" max="28" width="9.5703125" customWidth="1"/>
    <col min="29" max="29" width="7.5703125" customWidth="1"/>
    <col min="30" max="30" width="7.41796875" customWidth="1"/>
    <col min="31" max="31" width="6.27734375" customWidth="1"/>
    <col min="32" max="32" width="6.7109375" customWidth="1"/>
    <col min="33" max="33" width="7.5703125" customWidth="1"/>
    <col min="34" max="34" width="6.5703125" customWidth="1"/>
    <col min="35" max="35" width="7.5703125" customWidth="1"/>
    <col min="36" max="36" width="8.27734375" customWidth="1"/>
    <col min="42" max="42" width="7.5703125" customWidth="1"/>
  </cols>
  <sheetData>
    <row r="2" spans="2:44" ht="55.2" customHeight="1">
      <c r="B2" s="75" t="s">
        <v>484</v>
      </c>
      <c r="C2" s="76" t="s">
        <v>485</v>
      </c>
      <c r="D2" s="77" t="s">
        <v>486</v>
      </c>
      <c r="E2" s="77" t="s">
        <v>487</v>
      </c>
      <c r="F2" s="77" t="s">
        <v>488</v>
      </c>
      <c r="G2" s="77" t="s">
        <v>489</v>
      </c>
      <c r="H2" s="77" t="s">
        <v>490</v>
      </c>
      <c r="I2" s="77" t="s">
        <v>491</v>
      </c>
      <c r="J2" s="130" t="s">
        <v>492</v>
      </c>
      <c r="K2" s="130" t="s">
        <v>493</v>
      </c>
      <c r="L2" s="40"/>
      <c r="M2" s="40"/>
      <c r="N2" s="74" t="s">
        <v>494</v>
      </c>
      <c r="O2" s="78" t="s">
        <v>495</v>
      </c>
      <c r="P2" s="78" t="s">
        <v>496</v>
      </c>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9" ht="15" customHeight="1" thickBot="1">
      <c r="B3" s="79" t="s">
        <v>93</v>
      </c>
      <c r="C3" s="80" t="s">
        <v>267</v>
      </c>
      <c r="D3" s="362">
        <v>1.57</v>
      </c>
      <c r="E3" s="82">
        <f>25</f>
        <v>25</v>
      </c>
      <c r="F3" s="83" t="s">
        <v>267</v>
      </c>
      <c r="G3" s="363">
        <v>1.57</v>
      </c>
      <c r="H3" s="82">
        <v>25</v>
      </c>
      <c r="I3" s="83" t="s">
        <v>267</v>
      </c>
      <c r="J3" s="358">
        <f>0.25*0.9</f>
        <v>0.225</v>
      </c>
      <c r="K3" s="131">
        <v>25</v>
      </c>
      <c r="L3" s="40"/>
      <c r="M3" s="40"/>
      <c r="N3" s="85" t="s">
        <v>343</v>
      </c>
      <c r="O3" s="86">
        <v>0.45</v>
      </c>
      <c r="P3" s="42">
        <v>25.03</v>
      </c>
      <c r="Q3" s="87"/>
      <c r="R3" s="74" t="s">
        <v>309</v>
      </c>
      <c r="S3" s="451" t="s">
        <v>497</v>
      </c>
      <c r="T3" s="452"/>
      <c r="U3" s="452"/>
      <c r="V3" s="452"/>
      <c r="W3" s="452"/>
      <c r="X3" s="453"/>
      <c r="Y3" s="451" t="s">
        <v>498</v>
      </c>
      <c r="Z3" s="452"/>
      <c r="AA3" s="452"/>
      <c r="AB3" s="452"/>
      <c r="AC3" s="452"/>
      <c r="AD3" s="453"/>
      <c r="AE3" s="451" t="s">
        <v>499</v>
      </c>
      <c r="AF3" s="452"/>
      <c r="AG3" s="452"/>
      <c r="AH3" s="452"/>
      <c r="AI3" s="452"/>
      <c r="AJ3" s="453"/>
      <c r="AK3" s="40"/>
      <c r="AL3" s="74" t="s">
        <v>309</v>
      </c>
      <c r="AM3" s="448" t="s">
        <v>497</v>
      </c>
      <c r="AN3" s="449"/>
      <c r="AO3" s="449"/>
      <c r="AP3" s="449"/>
      <c r="AQ3" s="449"/>
      <c r="AR3" s="450"/>
      <c r="AS3" s="448" t="s">
        <v>498</v>
      </c>
      <c r="AT3" s="449"/>
      <c r="AU3" s="449"/>
      <c r="AV3" s="449"/>
      <c r="AW3" s="449"/>
      <c r="AX3" s="450"/>
      <c r="AY3" s="448" t="s">
        <v>499</v>
      </c>
      <c r="AZ3" s="449"/>
      <c r="BA3" s="449"/>
      <c r="BB3" s="449"/>
      <c r="BC3" s="449"/>
      <c r="BD3" s="450"/>
      <c r="BE3" s="352"/>
      <c r="BF3" s="352"/>
      <c r="BG3" s="352"/>
    </row>
    <row r="4" spans="2:59" ht="41.7" customHeight="1" thickBot="1">
      <c r="B4" s="88" t="s">
        <v>94</v>
      </c>
      <c r="C4" s="80" t="s">
        <v>269</v>
      </c>
      <c r="D4" s="81">
        <f>IF(Table1[[#This Row],[Current (2025) Value known?]]="No",6,0)</f>
        <v>6</v>
      </c>
      <c r="E4" s="82">
        <f>25</f>
        <v>25</v>
      </c>
      <c r="F4" s="83" t="s">
        <v>269</v>
      </c>
      <c r="G4" s="84">
        <f>IF(Table1[[#This Row],[2026 Value known?]]="No",6,0)</f>
        <v>6</v>
      </c>
      <c r="H4" s="82">
        <v>25</v>
      </c>
      <c r="I4" s="83" t="s">
        <v>269</v>
      </c>
      <c r="J4" s="84">
        <v>6</v>
      </c>
      <c r="K4" s="131">
        <v>25</v>
      </c>
      <c r="L4" s="40"/>
      <c r="M4" s="40"/>
      <c r="N4" s="85" t="s">
        <v>73</v>
      </c>
      <c r="O4" s="86">
        <v>0.02</v>
      </c>
      <c r="P4" s="42">
        <v>3</v>
      </c>
      <c r="Q4" s="87"/>
      <c r="R4" s="173" t="s">
        <v>41</v>
      </c>
      <c r="S4" s="465" t="s">
        <v>183</v>
      </c>
      <c r="T4" s="466"/>
      <c r="U4" s="458" t="s">
        <v>500</v>
      </c>
      <c r="V4" s="458"/>
      <c r="W4" s="458" t="s">
        <v>501</v>
      </c>
      <c r="X4" s="459"/>
      <c r="Y4" s="460" t="s">
        <v>183</v>
      </c>
      <c r="Z4" s="458"/>
      <c r="AA4" s="458" t="s">
        <v>500</v>
      </c>
      <c r="AB4" s="458"/>
      <c r="AC4" s="458" t="s">
        <v>501</v>
      </c>
      <c r="AD4" s="459"/>
      <c r="AE4" s="461" t="s">
        <v>183</v>
      </c>
      <c r="AF4" s="458"/>
      <c r="AG4" s="458" t="s">
        <v>500</v>
      </c>
      <c r="AH4" s="458"/>
      <c r="AI4" s="458" t="s">
        <v>501</v>
      </c>
      <c r="AJ4" s="459"/>
      <c r="AK4" s="40"/>
      <c r="AL4" s="155" t="s">
        <v>41</v>
      </c>
      <c r="AM4" s="467" t="s">
        <v>183</v>
      </c>
      <c r="AN4" s="468"/>
      <c r="AO4" s="456" t="s">
        <v>500</v>
      </c>
      <c r="AP4" s="455"/>
      <c r="AQ4" s="456" t="s">
        <v>501</v>
      </c>
      <c r="AR4" s="457"/>
      <c r="AS4" s="454" t="s">
        <v>183</v>
      </c>
      <c r="AT4" s="455"/>
      <c r="AU4" s="456" t="s">
        <v>500</v>
      </c>
      <c r="AV4" s="455"/>
      <c r="AW4" s="456" t="s">
        <v>501</v>
      </c>
      <c r="AX4" s="457"/>
      <c r="AY4" s="454" t="s">
        <v>183</v>
      </c>
      <c r="AZ4" s="455"/>
      <c r="BA4" s="456" t="s">
        <v>500</v>
      </c>
      <c r="BB4" s="455"/>
      <c r="BC4" s="456" t="s">
        <v>501</v>
      </c>
      <c r="BD4" s="457"/>
      <c r="BE4" s="73"/>
      <c r="BF4" s="73"/>
      <c r="BG4" s="73"/>
    </row>
    <row r="5" spans="2:59" ht="15" customHeight="1">
      <c r="B5" s="88" t="s">
        <v>95</v>
      </c>
      <c r="C5" s="80" t="s">
        <v>269</v>
      </c>
      <c r="D5" s="81">
        <f>IF(Table1[[#This Row],[Current (2025) Value known?]]="No",6,0)</f>
        <v>6</v>
      </c>
      <c r="E5" s="82">
        <f>25</f>
        <v>25</v>
      </c>
      <c r="F5" s="83" t="s">
        <v>269</v>
      </c>
      <c r="G5" s="84">
        <f>IF(Table1[[#This Row],[2026 Value known?]]="No",6,0)</f>
        <v>6</v>
      </c>
      <c r="H5" s="82">
        <v>25</v>
      </c>
      <c r="I5" s="83" t="s">
        <v>269</v>
      </c>
      <c r="J5" s="132">
        <v>6</v>
      </c>
      <c r="K5" s="131">
        <v>25</v>
      </c>
      <c r="L5" s="40"/>
      <c r="M5" s="40"/>
      <c r="N5" s="85" t="s">
        <v>75</v>
      </c>
      <c r="O5" s="86">
        <v>0.02</v>
      </c>
      <c r="P5" s="42">
        <v>3</v>
      </c>
      <c r="Q5" s="87"/>
      <c r="R5" s="174" t="s">
        <v>55</v>
      </c>
      <c r="S5" s="172">
        <v>0.14</v>
      </c>
      <c r="T5" s="153">
        <v>0.14</v>
      </c>
      <c r="U5" s="153">
        <v>0.19</v>
      </c>
      <c r="V5" s="153">
        <v>0.19</v>
      </c>
      <c r="W5" s="153">
        <v>0.5</v>
      </c>
      <c r="X5" s="154">
        <v>0.51</v>
      </c>
      <c r="Y5" s="172">
        <v>0.14</v>
      </c>
      <c r="Z5" s="153">
        <v>0.14</v>
      </c>
      <c r="AA5" s="153">
        <v>0.19</v>
      </c>
      <c r="AB5" s="153">
        <v>0.19</v>
      </c>
      <c r="AC5" s="153">
        <v>0.5</v>
      </c>
      <c r="AD5" s="154">
        <v>0.51</v>
      </c>
      <c r="AE5" s="169">
        <v>1.31</v>
      </c>
      <c r="AF5" s="153">
        <v>0.98</v>
      </c>
      <c r="AG5" s="153">
        <v>0.41</v>
      </c>
      <c r="AH5" s="153">
        <v>0.41</v>
      </c>
      <c r="AI5" s="153">
        <v>0.83</v>
      </c>
      <c r="AJ5" s="154">
        <v>0.84</v>
      </c>
      <c r="AK5" s="40"/>
      <c r="AL5" s="158" t="s">
        <v>55</v>
      </c>
      <c r="AM5" s="162">
        <v>35.87</v>
      </c>
      <c r="AN5" s="162">
        <v>35.87</v>
      </c>
      <c r="AO5" s="162">
        <v>12.05</v>
      </c>
      <c r="AP5" s="162">
        <v>12.15</v>
      </c>
      <c r="AQ5" s="162">
        <v>11.17</v>
      </c>
      <c r="AR5" s="162">
        <v>11.3</v>
      </c>
      <c r="AS5" s="162">
        <v>35.87</v>
      </c>
      <c r="AT5" s="162">
        <v>35.87</v>
      </c>
      <c r="AU5" s="162">
        <v>12.05</v>
      </c>
      <c r="AV5" s="162">
        <v>12.15</v>
      </c>
      <c r="AW5" s="162">
        <v>11.17</v>
      </c>
      <c r="AX5" s="162">
        <v>11.3</v>
      </c>
      <c r="AY5" s="162">
        <v>22.54</v>
      </c>
      <c r="AZ5" s="162">
        <v>18.1</v>
      </c>
      <c r="BA5" s="162">
        <v>17.17</v>
      </c>
      <c r="BB5" s="162">
        <v>17.32</v>
      </c>
      <c r="BC5" s="162">
        <v>12.96</v>
      </c>
      <c r="BD5" s="163">
        <v>13.11</v>
      </c>
      <c r="BE5" s="13"/>
      <c r="BF5" s="13"/>
      <c r="BG5" s="13"/>
    </row>
    <row r="6" spans="2:59" ht="15" customHeight="1">
      <c r="B6" s="88" t="s">
        <v>96</v>
      </c>
      <c r="C6" s="80" t="s">
        <v>267</v>
      </c>
      <c r="D6" s="135">
        <v>0.54</v>
      </c>
      <c r="E6" s="82">
        <f>25</f>
        <v>25</v>
      </c>
      <c r="F6" s="83" t="s">
        <v>267</v>
      </c>
      <c r="G6" s="354">
        <f>0.6*0.9</f>
        <v>0.54</v>
      </c>
      <c r="H6" s="82">
        <v>25</v>
      </c>
      <c r="I6" s="83" t="s">
        <v>267</v>
      </c>
      <c r="J6" s="137">
        <f>0.25*0.9</f>
        <v>0.225</v>
      </c>
      <c r="K6" s="358">
        <f>10*0.9</f>
        <v>9</v>
      </c>
      <c r="L6" s="40"/>
      <c r="M6" s="40"/>
      <c r="N6" s="85" t="s">
        <v>329</v>
      </c>
      <c r="O6" s="86">
        <v>0.02</v>
      </c>
      <c r="P6" s="42">
        <v>3</v>
      </c>
      <c r="Q6" s="87"/>
      <c r="R6" s="175" t="s">
        <v>65</v>
      </c>
      <c r="S6" s="168">
        <v>0.06</v>
      </c>
      <c r="T6" s="147">
        <v>0.06</v>
      </c>
      <c r="U6" s="147">
        <v>0.11</v>
      </c>
      <c r="V6" s="147">
        <v>0.11</v>
      </c>
      <c r="W6" s="147">
        <v>0.43</v>
      </c>
      <c r="X6" s="149">
        <v>0.5</v>
      </c>
      <c r="Y6" s="168">
        <v>0.06</v>
      </c>
      <c r="Z6" s="147">
        <v>0.06</v>
      </c>
      <c r="AA6" s="147">
        <v>0.11</v>
      </c>
      <c r="AB6" s="147">
        <v>0.11</v>
      </c>
      <c r="AC6" s="147">
        <v>0.43</v>
      </c>
      <c r="AD6" s="149">
        <v>0.5</v>
      </c>
      <c r="AE6" s="170">
        <v>0.11</v>
      </c>
      <c r="AF6" s="147">
        <v>0.16</v>
      </c>
      <c r="AG6" s="147">
        <v>0.22</v>
      </c>
      <c r="AH6" s="147">
        <v>0.22</v>
      </c>
      <c r="AI6" s="147">
        <v>0.68</v>
      </c>
      <c r="AJ6" s="149">
        <v>0.68</v>
      </c>
      <c r="AK6" s="40"/>
      <c r="AL6" s="148" t="s">
        <v>65</v>
      </c>
      <c r="AM6" s="161">
        <v>12.94</v>
      </c>
      <c r="AN6" s="161">
        <v>13.02</v>
      </c>
      <c r="AO6" s="161">
        <v>8.87</v>
      </c>
      <c r="AP6" s="161">
        <v>8.93</v>
      </c>
      <c r="AQ6" s="161">
        <v>7.97</v>
      </c>
      <c r="AR6" s="161">
        <v>9.68</v>
      </c>
      <c r="AS6" s="161">
        <v>12.94</v>
      </c>
      <c r="AT6" s="161">
        <v>13.02</v>
      </c>
      <c r="AU6" s="161">
        <v>8.87</v>
      </c>
      <c r="AV6" s="161">
        <v>8.93</v>
      </c>
      <c r="AW6" s="161">
        <v>7.97</v>
      </c>
      <c r="AX6" s="161">
        <v>9.68</v>
      </c>
      <c r="AY6" s="161">
        <v>17.55</v>
      </c>
      <c r="AZ6" s="161">
        <v>22.39</v>
      </c>
      <c r="BA6" s="161">
        <v>13.66</v>
      </c>
      <c r="BB6" s="161">
        <v>13.75</v>
      </c>
      <c r="BC6" s="161">
        <v>9.62</v>
      </c>
      <c r="BD6" s="164">
        <v>9.65</v>
      </c>
      <c r="BE6" s="13"/>
      <c r="BF6" s="13"/>
      <c r="BG6" s="13"/>
    </row>
    <row r="7" spans="2:59" ht="15" customHeight="1">
      <c r="B7" s="88" t="s">
        <v>97</v>
      </c>
      <c r="C7" s="80" t="s">
        <v>269</v>
      </c>
      <c r="D7" s="81">
        <f>IF(Table1[[#This Row],[Current (2025) Value known?]]="No",6,0)</f>
        <v>6</v>
      </c>
      <c r="E7" s="82">
        <f>25</f>
        <v>25</v>
      </c>
      <c r="F7" s="83" t="s">
        <v>269</v>
      </c>
      <c r="G7" s="84">
        <f>IF(Table1[[#This Row],[2026 Value known?]]="No",6,0)</f>
        <v>6</v>
      </c>
      <c r="H7" s="82">
        <v>25</v>
      </c>
      <c r="I7" s="83" t="s">
        <v>269</v>
      </c>
      <c r="J7" s="84">
        <v>6</v>
      </c>
      <c r="K7" s="353">
        <v>25</v>
      </c>
      <c r="L7" s="40"/>
      <c r="M7" s="40"/>
      <c r="N7" s="85" t="s">
        <v>79</v>
      </c>
      <c r="O7" s="86">
        <v>0</v>
      </c>
      <c r="P7" s="42">
        <v>0</v>
      </c>
      <c r="Q7" s="40"/>
      <c r="R7" s="175" t="s">
        <v>502</v>
      </c>
      <c r="S7" s="168">
        <v>0.06</v>
      </c>
      <c r="T7" s="147">
        <v>0.06</v>
      </c>
      <c r="U7" s="147">
        <v>0.28</v>
      </c>
      <c r="V7" s="147">
        <v>0.29</v>
      </c>
      <c r="W7" s="147">
        <v>0.55</v>
      </c>
      <c r="X7" s="149">
        <v>0.6</v>
      </c>
      <c r="Y7" s="168">
        <v>0.06</v>
      </c>
      <c r="Z7" s="147">
        <v>0.06</v>
      </c>
      <c r="AA7" s="147">
        <v>0.28</v>
      </c>
      <c r="AB7" s="147">
        <v>0.29</v>
      </c>
      <c r="AC7" s="147">
        <v>0.55</v>
      </c>
      <c r="AD7" s="149">
        <v>0.6</v>
      </c>
      <c r="AE7" s="170">
        <v>0.14</v>
      </c>
      <c r="AF7" s="147">
        <v>0.18</v>
      </c>
      <c r="AG7" s="147">
        <v>0.6</v>
      </c>
      <c r="AH7" s="147">
        <v>0.6</v>
      </c>
      <c r="AI7" s="147">
        <v>0.94</v>
      </c>
      <c r="AJ7" s="149">
        <v>0.95</v>
      </c>
      <c r="AK7" s="40"/>
      <c r="AL7" s="148" t="s">
        <v>502</v>
      </c>
      <c r="AM7" s="161">
        <v>27.33</v>
      </c>
      <c r="AN7" s="161">
        <v>27.39</v>
      </c>
      <c r="AO7" s="161">
        <v>18.76</v>
      </c>
      <c r="AP7" s="161">
        <v>18.96</v>
      </c>
      <c r="AQ7" s="161">
        <v>18.83</v>
      </c>
      <c r="AR7" s="161">
        <v>21.55</v>
      </c>
      <c r="AS7" s="161">
        <v>27.33</v>
      </c>
      <c r="AT7" s="161">
        <v>27.39</v>
      </c>
      <c r="AU7" s="161">
        <v>18.76</v>
      </c>
      <c r="AV7" s="161">
        <v>18.96</v>
      </c>
      <c r="AW7" s="161">
        <v>18.83</v>
      </c>
      <c r="AX7" s="161">
        <v>21.55</v>
      </c>
      <c r="AY7" s="161">
        <v>33.11</v>
      </c>
      <c r="AZ7" s="161">
        <v>38.38</v>
      </c>
      <c r="BA7" s="161">
        <v>24.06</v>
      </c>
      <c r="BB7" s="161">
        <v>24.32</v>
      </c>
      <c r="BC7" s="161">
        <v>20.64</v>
      </c>
      <c r="BD7" s="164">
        <v>20.98</v>
      </c>
      <c r="BE7" s="13"/>
      <c r="BF7" s="13"/>
      <c r="BG7" s="13"/>
    </row>
    <row r="8" spans="2:59" ht="15" customHeight="1">
      <c r="B8" s="89" t="s">
        <v>98</v>
      </c>
      <c r="C8" s="80" t="s">
        <v>269</v>
      </c>
      <c r="D8" s="81">
        <f>IF(Table1[[#This Row],[Current (2025) Value known?]]="No",6,0)</f>
        <v>6</v>
      </c>
      <c r="E8" s="82">
        <f>25</f>
        <v>25</v>
      </c>
      <c r="F8" s="83" t="s">
        <v>269</v>
      </c>
      <c r="G8" s="84">
        <f>IF(Table1[[#This Row],[2026 Value known?]]="No",6,0)</f>
        <v>6</v>
      </c>
      <c r="H8" s="82">
        <v>25</v>
      </c>
      <c r="I8" s="83" t="s">
        <v>269</v>
      </c>
      <c r="J8" s="84">
        <v>6</v>
      </c>
      <c r="K8" s="353">
        <v>25</v>
      </c>
      <c r="L8" s="40"/>
      <c r="M8" s="40"/>
      <c r="N8" s="85" t="s">
        <v>420</v>
      </c>
      <c r="O8" s="86">
        <v>-8</v>
      </c>
      <c r="P8" s="42">
        <v>-930</v>
      </c>
      <c r="Q8" s="40"/>
      <c r="R8" s="175" t="s">
        <v>325</v>
      </c>
      <c r="S8" s="168">
        <v>0.17</v>
      </c>
      <c r="T8" s="147">
        <v>0.12</v>
      </c>
      <c r="U8" s="147">
        <v>0.35</v>
      </c>
      <c r="V8" s="147">
        <v>0.38</v>
      </c>
      <c r="W8" s="147">
        <v>0.71</v>
      </c>
      <c r="X8" s="149">
        <v>0.68</v>
      </c>
      <c r="Y8" s="168">
        <v>0.17</v>
      </c>
      <c r="Z8" s="147">
        <v>0.12</v>
      </c>
      <c r="AA8" s="147">
        <v>0.35</v>
      </c>
      <c r="AB8" s="147">
        <v>0.38</v>
      </c>
      <c r="AC8" s="147">
        <v>0.71</v>
      </c>
      <c r="AD8" s="149">
        <v>0.68</v>
      </c>
      <c r="AE8" s="170">
        <v>0.26</v>
      </c>
      <c r="AF8" s="147">
        <v>0.37</v>
      </c>
      <c r="AG8" s="147">
        <v>0.7</v>
      </c>
      <c r="AH8" s="147">
        <v>0.74</v>
      </c>
      <c r="AI8" s="147">
        <v>1.08</v>
      </c>
      <c r="AJ8" s="149">
        <v>1.14</v>
      </c>
      <c r="AK8" s="40"/>
      <c r="AL8" s="148" t="s">
        <v>325</v>
      </c>
      <c r="AM8" s="161">
        <v>244.3</v>
      </c>
      <c r="AN8" s="161">
        <v>231.58</v>
      </c>
      <c r="AO8" s="161">
        <v>144.04</v>
      </c>
      <c r="AP8" s="161">
        <v>149.96</v>
      </c>
      <c r="AQ8" s="161">
        <v>138.11</v>
      </c>
      <c r="AR8" s="161">
        <v>140.47</v>
      </c>
      <c r="AS8" s="161">
        <v>244.3</v>
      </c>
      <c r="AT8" s="161">
        <v>231.58</v>
      </c>
      <c r="AU8" s="161">
        <v>144.04</v>
      </c>
      <c r="AV8" s="161">
        <v>149.96</v>
      </c>
      <c r="AW8" s="161">
        <v>138.11</v>
      </c>
      <c r="AX8" s="161">
        <v>140.47</v>
      </c>
      <c r="AY8" s="161">
        <v>273.57</v>
      </c>
      <c r="AZ8" s="161">
        <v>287.23</v>
      </c>
      <c r="BA8" s="161">
        <v>177.92</v>
      </c>
      <c r="BB8" s="161">
        <v>185.52</v>
      </c>
      <c r="BC8" s="161">
        <v>141.39</v>
      </c>
      <c r="BD8" s="164">
        <v>152.82</v>
      </c>
      <c r="BE8" s="13"/>
      <c r="BF8" s="13"/>
      <c r="BG8" s="13"/>
    </row>
    <row r="9" spans="2:59" ht="15" customHeight="1">
      <c r="B9" s="89" t="s">
        <v>99</v>
      </c>
      <c r="C9" s="80" t="s">
        <v>269</v>
      </c>
      <c r="D9" s="81">
        <f>IF(Table1[[#This Row],[Current (2025) Value known?]]="No",6,0)</f>
        <v>6</v>
      </c>
      <c r="E9" s="82">
        <f>25</f>
        <v>25</v>
      </c>
      <c r="F9" s="83" t="s">
        <v>269</v>
      </c>
      <c r="G9" s="84">
        <f>IF(Table1[[#This Row],[2026 Value known?]]="No",6,0)</f>
        <v>6</v>
      </c>
      <c r="H9" s="82">
        <v>25</v>
      </c>
      <c r="I9" s="83" t="s">
        <v>269</v>
      </c>
      <c r="J9" s="84">
        <v>6</v>
      </c>
      <c r="K9" s="353">
        <v>25</v>
      </c>
      <c r="L9" s="40"/>
      <c r="M9" s="40"/>
      <c r="N9" s="85" t="s">
        <v>503</v>
      </c>
      <c r="O9" s="95">
        <v>0.02</v>
      </c>
      <c r="P9" s="42">
        <v>3</v>
      </c>
      <c r="Q9" s="40"/>
      <c r="R9" s="175" t="s">
        <v>504</v>
      </c>
      <c r="S9" s="168">
        <v>0.07</v>
      </c>
      <c r="T9" s="147">
        <v>0.07</v>
      </c>
      <c r="U9" s="147">
        <v>0.35</v>
      </c>
      <c r="V9" s="147">
        <v>0.38</v>
      </c>
      <c r="W9" s="147">
        <v>0.58</v>
      </c>
      <c r="X9" s="149">
        <v>0.68</v>
      </c>
      <c r="Y9" s="168">
        <v>0.07</v>
      </c>
      <c r="Z9" s="147">
        <v>0.07</v>
      </c>
      <c r="AA9" s="147">
        <v>0.35</v>
      </c>
      <c r="AB9" s="147">
        <v>0.38</v>
      </c>
      <c r="AC9" s="147">
        <v>0.58</v>
      </c>
      <c r="AD9" s="149">
        <v>0.68</v>
      </c>
      <c r="AE9" s="170">
        <v>0.17</v>
      </c>
      <c r="AF9" s="147">
        <v>0.23</v>
      </c>
      <c r="AG9" s="147">
        <v>0.72</v>
      </c>
      <c r="AH9" s="147">
        <v>0.76</v>
      </c>
      <c r="AI9" s="147">
        <v>1</v>
      </c>
      <c r="AJ9" s="149">
        <v>1.05</v>
      </c>
      <c r="AK9" s="40"/>
      <c r="AL9" s="148" t="s">
        <v>504</v>
      </c>
      <c r="AM9" s="161">
        <v>93.57</v>
      </c>
      <c r="AN9" s="161">
        <v>93.25</v>
      </c>
      <c r="AO9" s="161">
        <v>59.54</v>
      </c>
      <c r="AP9" s="161">
        <v>61.69</v>
      </c>
      <c r="AQ9" s="161">
        <v>56.34</v>
      </c>
      <c r="AR9" s="161">
        <v>79.38</v>
      </c>
      <c r="AS9" s="161">
        <v>93.57</v>
      </c>
      <c r="AT9" s="161">
        <v>93.25</v>
      </c>
      <c r="AU9" s="161">
        <v>59.54</v>
      </c>
      <c r="AV9" s="161">
        <v>61.69</v>
      </c>
      <c r="AW9" s="161">
        <v>56.34</v>
      </c>
      <c r="AX9" s="161">
        <v>79.38</v>
      </c>
      <c r="AY9" s="161">
        <v>109.91</v>
      </c>
      <c r="AZ9" s="161">
        <v>147.9</v>
      </c>
      <c r="BA9" s="161">
        <v>73.2</v>
      </c>
      <c r="BB9" s="161">
        <v>75.97</v>
      </c>
      <c r="BC9" s="161">
        <v>60.56</v>
      </c>
      <c r="BD9" s="164">
        <v>64.79</v>
      </c>
      <c r="BE9" s="13"/>
      <c r="BF9" s="13"/>
      <c r="BG9" s="13"/>
    </row>
    <row r="10" spans="2:59" ht="15" customHeight="1">
      <c r="B10" s="88" t="s">
        <v>100</v>
      </c>
      <c r="C10" s="80" t="s">
        <v>267</v>
      </c>
      <c r="D10" s="364">
        <v>1.05</v>
      </c>
      <c r="E10" s="82">
        <f>25</f>
        <v>25</v>
      </c>
      <c r="F10" s="83" t="s">
        <v>267</v>
      </c>
      <c r="G10" s="363">
        <v>1.05</v>
      </c>
      <c r="H10" s="82">
        <v>25</v>
      </c>
      <c r="I10" s="83" t="s">
        <v>267</v>
      </c>
      <c r="J10" s="137">
        <f>0.25*0.9</f>
        <v>0.225</v>
      </c>
      <c r="K10" s="358">
        <f>10*0.9</f>
        <v>9</v>
      </c>
      <c r="L10" s="40"/>
      <c r="M10" s="40"/>
      <c r="N10" s="129"/>
      <c r="O10" s="122"/>
      <c r="P10" s="87"/>
      <c r="Q10" s="40"/>
      <c r="R10" s="175" t="s">
        <v>59</v>
      </c>
      <c r="S10" s="168">
        <v>0.05</v>
      </c>
      <c r="T10" s="147">
        <v>0.05</v>
      </c>
      <c r="U10" s="147">
        <v>0.33</v>
      </c>
      <c r="V10" s="147">
        <v>0.33</v>
      </c>
      <c r="W10" s="147">
        <v>0.52</v>
      </c>
      <c r="X10" s="149">
        <v>0.53</v>
      </c>
      <c r="Y10" s="168">
        <v>0.05</v>
      </c>
      <c r="Z10" s="147">
        <v>0.05</v>
      </c>
      <c r="AA10" s="147">
        <v>0.33</v>
      </c>
      <c r="AB10" s="147">
        <v>0.33</v>
      </c>
      <c r="AC10" s="147">
        <v>0.52</v>
      </c>
      <c r="AD10" s="149">
        <v>0.53</v>
      </c>
      <c r="AE10" s="170">
        <v>0.14</v>
      </c>
      <c r="AF10" s="147">
        <v>0.15</v>
      </c>
      <c r="AG10" s="147">
        <v>0.66</v>
      </c>
      <c r="AH10" s="147">
        <v>0.7</v>
      </c>
      <c r="AI10" s="147">
        <v>0.92</v>
      </c>
      <c r="AJ10" s="149">
        <v>0.97</v>
      </c>
      <c r="AK10" s="40"/>
      <c r="AL10" s="148" t="s">
        <v>59</v>
      </c>
      <c r="AM10" s="161">
        <v>22.09</v>
      </c>
      <c r="AN10" s="161">
        <v>22.39</v>
      </c>
      <c r="AO10" s="161">
        <v>15.49</v>
      </c>
      <c r="AP10" s="161">
        <v>15.52</v>
      </c>
      <c r="AQ10" s="161">
        <v>15.97</v>
      </c>
      <c r="AR10" s="161">
        <v>16</v>
      </c>
      <c r="AS10" s="161">
        <v>22.09</v>
      </c>
      <c r="AT10" s="161">
        <v>22.39</v>
      </c>
      <c r="AU10" s="161">
        <v>15.49</v>
      </c>
      <c r="AV10" s="161">
        <v>15.52</v>
      </c>
      <c r="AW10" s="161">
        <v>15.97</v>
      </c>
      <c r="AX10" s="161">
        <v>16</v>
      </c>
      <c r="AY10" s="161">
        <v>26.42</v>
      </c>
      <c r="AZ10" s="161">
        <v>26.19</v>
      </c>
      <c r="BA10" s="161">
        <v>19.08</v>
      </c>
      <c r="BB10" s="161">
        <v>19.09</v>
      </c>
      <c r="BC10" s="161">
        <v>17.12</v>
      </c>
      <c r="BD10" s="164">
        <v>17.02</v>
      </c>
      <c r="BE10" s="13"/>
      <c r="BF10" s="13"/>
      <c r="BG10" s="13"/>
    </row>
    <row r="11" spans="2:59" ht="15" customHeight="1">
      <c r="B11" s="88" t="s">
        <v>101</v>
      </c>
      <c r="C11" s="80" t="s">
        <v>269</v>
      </c>
      <c r="D11" s="90">
        <f>IF(Table1[[#This Row],[Current (2025) Value known?]]="No",6,0)</f>
        <v>6</v>
      </c>
      <c r="E11" s="82">
        <f>25</f>
        <v>25</v>
      </c>
      <c r="F11" s="83" t="s">
        <v>269</v>
      </c>
      <c r="G11" s="84">
        <f>IF(Table1[[#This Row],[2026 Value known?]]="No",6,0)</f>
        <v>6</v>
      </c>
      <c r="H11" s="82">
        <v>25</v>
      </c>
      <c r="I11" s="83" t="s">
        <v>269</v>
      </c>
      <c r="J11" s="132">
        <v>6</v>
      </c>
      <c r="K11" s="131">
        <v>25</v>
      </c>
      <c r="L11" s="40"/>
      <c r="M11" s="40"/>
      <c r="N11" s="40"/>
      <c r="O11" s="92"/>
      <c r="P11" s="87"/>
      <c r="Q11" s="40"/>
      <c r="R11" s="175" t="s">
        <v>57</v>
      </c>
      <c r="S11" s="168">
        <v>0.05</v>
      </c>
      <c r="T11" s="147">
        <v>0.05</v>
      </c>
      <c r="U11" s="147">
        <v>0.34</v>
      </c>
      <c r="V11" s="147">
        <v>0.34</v>
      </c>
      <c r="W11" s="147">
        <v>0.56</v>
      </c>
      <c r="X11" s="149">
        <v>0.56</v>
      </c>
      <c r="Y11" s="168">
        <v>0.05</v>
      </c>
      <c r="Z11" s="147">
        <v>0.05</v>
      </c>
      <c r="AA11" s="147">
        <v>0.34</v>
      </c>
      <c r="AB11" s="147">
        <v>0.34</v>
      </c>
      <c r="AC11" s="147">
        <v>0.56</v>
      </c>
      <c r="AD11" s="149">
        <v>0.56</v>
      </c>
      <c r="AE11" s="170">
        <v>0.15</v>
      </c>
      <c r="AF11" s="147">
        <v>0.15</v>
      </c>
      <c r="AG11" s="147">
        <v>0.73</v>
      </c>
      <c r="AH11" s="147">
        <v>0.73</v>
      </c>
      <c r="AI11" s="147">
        <v>0.98</v>
      </c>
      <c r="AJ11" s="149">
        <v>0.98</v>
      </c>
      <c r="AK11" s="40"/>
      <c r="AL11" s="148" t="s">
        <v>57</v>
      </c>
      <c r="AM11" s="161">
        <v>26.47</v>
      </c>
      <c r="AN11" s="161">
        <v>26.54</v>
      </c>
      <c r="AO11" s="161">
        <v>19.11</v>
      </c>
      <c r="AP11" s="161">
        <v>19.16</v>
      </c>
      <c r="AQ11" s="161">
        <v>20.2</v>
      </c>
      <c r="AR11" s="161">
        <v>20.25</v>
      </c>
      <c r="AS11" s="161">
        <v>26.47</v>
      </c>
      <c r="AT11" s="161">
        <v>26.54</v>
      </c>
      <c r="AU11" s="161">
        <v>19.11</v>
      </c>
      <c r="AV11" s="161">
        <v>19.16</v>
      </c>
      <c r="AW11" s="161">
        <v>20.2</v>
      </c>
      <c r="AX11" s="161">
        <v>20.25</v>
      </c>
      <c r="AY11" s="161">
        <v>31.52</v>
      </c>
      <c r="AZ11" s="161">
        <v>31.61</v>
      </c>
      <c r="BA11" s="161">
        <v>23.75</v>
      </c>
      <c r="BB11" s="161">
        <v>23.82</v>
      </c>
      <c r="BC11" s="161">
        <v>21.97</v>
      </c>
      <c r="BD11" s="164">
        <v>22.03</v>
      </c>
      <c r="BE11" s="13"/>
      <c r="BF11" s="13"/>
      <c r="BG11" s="13"/>
    </row>
    <row r="12" spans="2:59" ht="15" customHeight="1">
      <c r="B12" s="89" t="s">
        <v>102</v>
      </c>
      <c r="C12" s="80" t="s">
        <v>269</v>
      </c>
      <c r="D12" s="90">
        <f>IF(Table1[[#This Row],[Current (2025) Value known?]]="No",6,0)</f>
        <v>6</v>
      </c>
      <c r="E12" s="82">
        <f>25</f>
        <v>25</v>
      </c>
      <c r="F12" s="91" t="s">
        <v>269</v>
      </c>
      <c r="G12" s="84">
        <f>IF(Table1[[#This Row],[2026 Value known?]]="No",6,0)</f>
        <v>6</v>
      </c>
      <c r="H12" s="82">
        <v>25</v>
      </c>
      <c r="I12" s="83" t="s">
        <v>269</v>
      </c>
      <c r="J12" s="132">
        <v>6</v>
      </c>
      <c r="K12" s="131">
        <v>25</v>
      </c>
      <c r="L12" s="40"/>
      <c r="M12" s="40"/>
      <c r="N12" s="40"/>
      <c r="O12" s="92"/>
      <c r="P12" s="87"/>
      <c r="Q12" s="40"/>
      <c r="R12" s="175" t="s">
        <v>71</v>
      </c>
      <c r="S12" s="168">
        <v>0.05</v>
      </c>
      <c r="T12" s="147">
        <v>0.05</v>
      </c>
      <c r="U12" s="147">
        <v>0.31</v>
      </c>
      <c r="V12" s="147">
        <v>0.31</v>
      </c>
      <c r="W12" s="147">
        <v>0.53</v>
      </c>
      <c r="X12" s="149">
        <v>0.5</v>
      </c>
      <c r="Y12" s="168">
        <v>0.05</v>
      </c>
      <c r="Z12" s="147">
        <v>0.05</v>
      </c>
      <c r="AA12" s="147">
        <v>0.31</v>
      </c>
      <c r="AB12" s="147">
        <v>0.31</v>
      </c>
      <c r="AC12" s="147">
        <v>0.53</v>
      </c>
      <c r="AD12" s="149">
        <v>0.5</v>
      </c>
      <c r="AE12" s="170">
        <v>0.13</v>
      </c>
      <c r="AF12" s="147">
        <v>0.13</v>
      </c>
      <c r="AG12" s="147">
        <v>0.64</v>
      </c>
      <c r="AH12" s="147">
        <v>0.64</v>
      </c>
      <c r="AI12" s="147">
        <v>0.9</v>
      </c>
      <c r="AJ12" s="149">
        <v>0.9</v>
      </c>
      <c r="AK12" s="40"/>
      <c r="AL12" s="148" t="s">
        <v>71</v>
      </c>
      <c r="AM12" s="161">
        <v>25.28</v>
      </c>
      <c r="AN12" s="161">
        <v>25.35</v>
      </c>
      <c r="AO12" s="161">
        <v>17.62</v>
      </c>
      <c r="AP12" s="161">
        <v>17.67</v>
      </c>
      <c r="AQ12" s="161">
        <v>18.23</v>
      </c>
      <c r="AR12" s="161">
        <v>19.17</v>
      </c>
      <c r="AS12" s="161">
        <v>25.28</v>
      </c>
      <c r="AT12" s="161">
        <v>25.35</v>
      </c>
      <c r="AU12" s="161">
        <v>17.62</v>
      </c>
      <c r="AV12" s="161">
        <v>17.67</v>
      </c>
      <c r="AW12" s="161">
        <v>18.23</v>
      </c>
      <c r="AX12" s="161">
        <v>19.17</v>
      </c>
      <c r="AY12" s="161">
        <v>29.97</v>
      </c>
      <c r="AZ12" s="161">
        <v>30.05</v>
      </c>
      <c r="BA12" s="161">
        <v>21.72</v>
      </c>
      <c r="BB12" s="161">
        <v>21.77</v>
      </c>
      <c r="BC12" s="161">
        <v>19.48</v>
      </c>
      <c r="BD12" s="164">
        <v>19.52</v>
      </c>
      <c r="BE12" s="13"/>
      <c r="BF12" s="13"/>
      <c r="BG12" s="13"/>
    </row>
    <row r="13" spans="2:56" ht="15" customHeight="1" thickBot="1">
      <c r="B13" s="89" t="s">
        <v>103</v>
      </c>
      <c r="C13" s="80" t="s">
        <v>269</v>
      </c>
      <c r="D13" s="90">
        <f>IF(Table1[[#This Row],[Current (2025) Value known?]]="No",6,0)</f>
        <v>6</v>
      </c>
      <c r="E13" s="82">
        <f>25</f>
        <v>25</v>
      </c>
      <c r="F13" s="91" t="s">
        <v>269</v>
      </c>
      <c r="G13" s="84">
        <f>IF(Table1[[#This Row],[2026 Value known?]]="No",6,0)</f>
        <v>6</v>
      </c>
      <c r="H13" s="82">
        <v>25</v>
      </c>
      <c r="I13" s="83" t="s">
        <v>269</v>
      </c>
      <c r="J13" s="132">
        <v>6</v>
      </c>
      <c r="K13" s="131">
        <v>25</v>
      </c>
      <c r="L13" s="40"/>
      <c r="M13" s="40"/>
      <c r="N13" s="40"/>
      <c r="O13" s="92"/>
      <c r="P13" s="87"/>
      <c r="Q13" s="40"/>
      <c r="R13" s="176" t="s">
        <v>505</v>
      </c>
      <c r="S13" s="150">
        <v>0.05</v>
      </c>
      <c r="T13" s="151">
        <v>0.05</v>
      </c>
      <c r="U13" s="151">
        <v>0.05</v>
      </c>
      <c r="V13" s="151">
        <v>0.05</v>
      </c>
      <c r="W13" s="151">
        <v>0.05</v>
      </c>
      <c r="X13" s="152">
        <v>0.05</v>
      </c>
      <c r="Y13" s="150">
        <v>0.05</v>
      </c>
      <c r="Z13" s="151">
        <v>0.05</v>
      </c>
      <c r="AA13" s="151">
        <v>0.05</v>
      </c>
      <c r="AB13" s="151">
        <v>0.05</v>
      </c>
      <c r="AC13" s="151">
        <v>0.05</v>
      </c>
      <c r="AD13" s="152">
        <v>0.05</v>
      </c>
      <c r="AE13" s="171">
        <v>0.13</v>
      </c>
      <c r="AF13" s="151">
        <v>0.13</v>
      </c>
      <c r="AG13" s="151">
        <v>0.13</v>
      </c>
      <c r="AH13" s="151">
        <v>0.13</v>
      </c>
      <c r="AI13" s="151">
        <v>0.13</v>
      </c>
      <c r="AJ13" s="152">
        <v>0.13</v>
      </c>
      <c r="AK13" s="40"/>
      <c r="AL13" s="150" t="s">
        <v>505</v>
      </c>
      <c r="AM13" s="151">
        <v>25.35</v>
      </c>
      <c r="AN13" s="151">
        <v>25.35</v>
      </c>
      <c r="AO13" s="151">
        <v>25.35</v>
      </c>
      <c r="AP13" s="151">
        <v>25.35</v>
      </c>
      <c r="AQ13" s="151">
        <v>25.35</v>
      </c>
      <c r="AR13" s="151">
        <v>25.35</v>
      </c>
      <c r="AS13" s="151">
        <v>25.35</v>
      </c>
      <c r="AT13" s="151">
        <v>25.35</v>
      </c>
      <c r="AU13" s="151">
        <v>25.35</v>
      </c>
      <c r="AV13" s="151">
        <v>25.35</v>
      </c>
      <c r="AW13" s="151">
        <v>25.35</v>
      </c>
      <c r="AX13" s="151">
        <v>25.35</v>
      </c>
      <c r="AY13" s="165">
        <v>30.05</v>
      </c>
      <c r="AZ13" s="165">
        <v>30.05</v>
      </c>
      <c r="BA13" s="165">
        <v>30.05</v>
      </c>
      <c r="BB13" s="165">
        <v>30.05</v>
      </c>
      <c r="BC13" s="165">
        <v>30.05</v>
      </c>
      <c r="BD13" s="166">
        <v>30.05</v>
      </c>
    </row>
    <row r="14" spans="2:56" ht="15" customHeight="1" thickBot="1">
      <c r="B14" s="89" t="s">
        <v>104</v>
      </c>
      <c r="C14" s="93" t="s">
        <v>267</v>
      </c>
      <c r="D14" s="364">
        <v>0.69</v>
      </c>
      <c r="E14" s="82">
        <f>25</f>
        <v>25</v>
      </c>
      <c r="F14" s="94" t="s">
        <v>267</v>
      </c>
      <c r="G14" s="363">
        <v>0.69</v>
      </c>
      <c r="H14" s="82">
        <v>25</v>
      </c>
      <c r="I14" s="83" t="s">
        <v>267</v>
      </c>
      <c r="J14" s="137">
        <f>0.25*0.9</f>
        <v>0.225</v>
      </c>
      <c r="K14" s="358">
        <f>10*0.9</f>
        <v>9</v>
      </c>
      <c r="L14" s="40"/>
      <c r="M14" s="40"/>
      <c r="N14" s="40"/>
      <c r="O14" s="92"/>
      <c r="P14" s="40"/>
      <c r="Q14" s="40"/>
      <c r="R14" s="74" t="s">
        <v>506</v>
      </c>
      <c r="S14" s="462" t="s">
        <v>497</v>
      </c>
      <c r="T14" s="463"/>
      <c r="U14" s="463"/>
      <c r="V14" s="463"/>
      <c r="W14" s="463"/>
      <c r="X14" s="464"/>
      <c r="Y14" s="462" t="s">
        <v>498</v>
      </c>
      <c r="Z14" s="463"/>
      <c r="AA14" s="463"/>
      <c r="AB14" s="463"/>
      <c r="AC14" s="463"/>
      <c r="AD14" s="464"/>
      <c r="AE14" s="462" t="s">
        <v>499</v>
      </c>
      <c r="AF14" s="463"/>
      <c r="AG14" s="463"/>
      <c r="AH14" s="463"/>
      <c r="AI14" s="463"/>
      <c r="AJ14" s="464"/>
      <c r="AK14" s="40"/>
      <c r="AL14" s="74" t="s">
        <v>506</v>
      </c>
      <c r="AM14" s="462" t="s">
        <v>497</v>
      </c>
      <c r="AN14" s="463"/>
      <c r="AO14" s="463"/>
      <c r="AP14" s="463"/>
      <c r="AQ14" s="463"/>
      <c r="AR14" s="464"/>
      <c r="AS14" s="462" t="s">
        <v>498</v>
      </c>
      <c r="AT14" s="463"/>
      <c r="AU14" s="463"/>
      <c r="AV14" s="463"/>
      <c r="AW14" s="463"/>
      <c r="AX14" s="464"/>
      <c r="AY14" s="462" t="s">
        <v>499</v>
      </c>
      <c r="AZ14" s="463"/>
      <c r="BA14" s="463"/>
      <c r="BB14" s="463"/>
      <c r="BC14" s="463"/>
      <c r="BD14" s="464"/>
    </row>
    <row r="15" spans="2:56" ht="15" customHeight="1" thickBot="1">
      <c r="B15" s="89" t="s">
        <v>105</v>
      </c>
      <c r="C15" s="93" t="s">
        <v>269</v>
      </c>
      <c r="D15" s="90">
        <f>IF(Table1[[#This Row],[Current (2025) Value known?]]="No",6,0)</f>
        <v>6</v>
      </c>
      <c r="E15" s="82">
        <f>25</f>
        <v>25</v>
      </c>
      <c r="F15" s="94" t="s">
        <v>269</v>
      </c>
      <c r="G15" s="84">
        <f>IF(Table1[[#This Row],[2026 Value known?]]="No",6,0)</f>
        <v>6</v>
      </c>
      <c r="H15" s="82">
        <v>25</v>
      </c>
      <c r="I15" s="83" t="s">
        <v>269</v>
      </c>
      <c r="J15" s="132">
        <v>6</v>
      </c>
      <c r="K15" s="131">
        <v>25</v>
      </c>
      <c r="L15" s="40"/>
      <c r="M15" s="40"/>
      <c r="N15" s="40"/>
      <c r="O15" s="92"/>
      <c r="P15" s="40"/>
      <c r="Q15" s="40"/>
      <c r="R15" s="177" t="s">
        <v>41</v>
      </c>
      <c r="S15" s="156" t="s">
        <v>183</v>
      </c>
      <c r="T15" s="157"/>
      <c r="U15" s="456" t="s">
        <v>500</v>
      </c>
      <c r="V15" s="455"/>
      <c r="W15" s="456" t="s">
        <v>501</v>
      </c>
      <c r="X15" s="457"/>
      <c r="Y15" s="454" t="s">
        <v>183</v>
      </c>
      <c r="Z15" s="455"/>
      <c r="AA15" s="456" t="s">
        <v>500</v>
      </c>
      <c r="AB15" s="455"/>
      <c r="AC15" s="456" t="s">
        <v>501</v>
      </c>
      <c r="AD15" s="457"/>
      <c r="AE15" s="454" t="s">
        <v>183</v>
      </c>
      <c r="AF15" s="455"/>
      <c r="AG15" s="456" t="s">
        <v>500</v>
      </c>
      <c r="AH15" s="455"/>
      <c r="AI15" s="456" t="s">
        <v>501</v>
      </c>
      <c r="AJ15" s="457"/>
      <c r="AK15" s="40"/>
      <c r="AL15" s="155" t="s">
        <v>41</v>
      </c>
      <c r="AM15" s="467" t="s">
        <v>183</v>
      </c>
      <c r="AN15" s="468"/>
      <c r="AO15" s="456" t="s">
        <v>500</v>
      </c>
      <c r="AP15" s="455"/>
      <c r="AQ15" s="456" t="s">
        <v>501</v>
      </c>
      <c r="AR15" s="457"/>
      <c r="AS15" s="454" t="s">
        <v>183</v>
      </c>
      <c r="AT15" s="455"/>
      <c r="AU15" s="456" t="s">
        <v>500</v>
      </c>
      <c r="AV15" s="455"/>
      <c r="AW15" s="456" t="s">
        <v>501</v>
      </c>
      <c r="AX15" s="457"/>
      <c r="AY15" s="454" t="s">
        <v>183</v>
      </c>
      <c r="AZ15" s="455"/>
      <c r="BA15" s="456" t="s">
        <v>500</v>
      </c>
      <c r="BB15" s="455"/>
      <c r="BC15" s="456" t="s">
        <v>501</v>
      </c>
      <c r="BD15" s="457"/>
    </row>
    <row r="16" spans="2:56" ht="15" customHeight="1">
      <c r="B16" s="89" t="s">
        <v>106</v>
      </c>
      <c r="C16" s="93" t="s">
        <v>267</v>
      </c>
      <c r="D16" s="364">
        <v>1.89</v>
      </c>
      <c r="E16" s="82">
        <f>25</f>
        <v>25</v>
      </c>
      <c r="F16" s="94" t="s">
        <v>267</v>
      </c>
      <c r="G16" s="363">
        <v>1.89</v>
      </c>
      <c r="H16" s="82">
        <v>25</v>
      </c>
      <c r="I16" s="83" t="s">
        <v>267</v>
      </c>
      <c r="J16" s="357">
        <f>0.25*0.9</f>
        <v>0.225</v>
      </c>
      <c r="K16" s="358">
        <f>10*0.9</f>
        <v>9</v>
      </c>
      <c r="L16" s="40"/>
      <c r="M16" s="40"/>
      <c r="N16" s="40"/>
      <c r="O16" s="92"/>
      <c r="P16" s="40"/>
      <c r="Q16" s="40"/>
      <c r="R16" s="178" t="s">
        <v>55</v>
      </c>
      <c r="S16" s="167">
        <v>0.14</v>
      </c>
      <c r="T16" s="159">
        <v>0.14</v>
      </c>
      <c r="U16" s="159">
        <v>0.27</v>
      </c>
      <c r="V16" s="159">
        <v>0.28</v>
      </c>
      <c r="W16" s="159">
        <v>0.83</v>
      </c>
      <c r="X16" s="160">
        <v>0.85</v>
      </c>
      <c r="Y16" s="167">
        <v>0.14</v>
      </c>
      <c r="Z16" s="159">
        <v>0.14</v>
      </c>
      <c r="AA16" s="159">
        <v>0.27</v>
      </c>
      <c r="AB16" s="159">
        <v>0.28</v>
      </c>
      <c r="AC16" s="159">
        <v>0.83</v>
      </c>
      <c r="AD16" s="160">
        <v>0.85</v>
      </c>
      <c r="AE16" s="167">
        <v>1.31</v>
      </c>
      <c r="AF16" s="159">
        <v>0.98</v>
      </c>
      <c r="AG16" s="159">
        <v>1.31</v>
      </c>
      <c r="AH16" s="159">
        <v>0.98</v>
      </c>
      <c r="AI16" s="159">
        <v>1.31</v>
      </c>
      <c r="AJ16" s="160">
        <v>1.31</v>
      </c>
      <c r="AK16" s="40"/>
      <c r="AL16" s="178" t="s">
        <v>55</v>
      </c>
      <c r="AM16" s="182">
        <v>35.87</v>
      </c>
      <c r="AN16" s="162">
        <v>35.87</v>
      </c>
      <c r="AO16" s="162">
        <v>22.72</v>
      </c>
      <c r="AP16" s="162">
        <v>24.35</v>
      </c>
      <c r="AQ16" s="162">
        <v>18.31</v>
      </c>
      <c r="AR16" s="163">
        <v>18.64</v>
      </c>
      <c r="AS16" s="182">
        <v>35.87</v>
      </c>
      <c r="AT16" s="162">
        <v>35.87</v>
      </c>
      <c r="AU16" s="162">
        <v>22.72</v>
      </c>
      <c r="AV16" s="162">
        <v>24.35</v>
      </c>
      <c r="AW16" s="162">
        <v>18.31</v>
      </c>
      <c r="AX16" s="163">
        <v>18.64</v>
      </c>
      <c r="AY16" s="180">
        <v>22.54</v>
      </c>
      <c r="AZ16" s="162">
        <v>18.1</v>
      </c>
      <c r="BA16" s="162">
        <v>22.54</v>
      </c>
      <c r="BB16" s="162">
        <v>18.1</v>
      </c>
      <c r="BC16" s="162">
        <v>22.54</v>
      </c>
      <c r="BD16" s="163">
        <v>22.54</v>
      </c>
    </row>
    <row r="17" spans="2:56" ht="15" customHeight="1">
      <c r="B17" s="89" t="s">
        <v>107</v>
      </c>
      <c r="C17" s="93" t="s">
        <v>269</v>
      </c>
      <c r="D17" s="90">
        <f>IF(Table1[[#This Row],[Current (2025) Value known?]]="No",6,0)</f>
        <v>6</v>
      </c>
      <c r="E17" s="82">
        <f>25</f>
        <v>25</v>
      </c>
      <c r="F17" s="94" t="s">
        <v>269</v>
      </c>
      <c r="G17" s="84">
        <f>IF(Table1[[#This Row],[2026 Value known?]]="No",6,0)</f>
        <v>6</v>
      </c>
      <c r="H17" s="82">
        <v>25</v>
      </c>
      <c r="I17" s="83" t="s">
        <v>269</v>
      </c>
      <c r="J17" s="132">
        <v>6</v>
      </c>
      <c r="K17" s="131">
        <v>25</v>
      </c>
      <c r="L17" s="40"/>
      <c r="M17" s="40"/>
      <c r="N17" s="96" t="s">
        <v>507</v>
      </c>
      <c r="O17" s="97" t="s">
        <v>508</v>
      </c>
      <c r="P17" s="98" t="s">
        <v>509</v>
      </c>
      <c r="Q17" s="40"/>
      <c r="R17" s="175" t="s">
        <v>65</v>
      </c>
      <c r="S17" s="168">
        <v>0.09</v>
      </c>
      <c r="T17" s="147">
        <v>0.09</v>
      </c>
      <c r="U17" s="147">
        <v>0.15</v>
      </c>
      <c r="V17" s="147">
        <v>0.15</v>
      </c>
      <c r="W17" s="147">
        <v>0.51</v>
      </c>
      <c r="X17" s="149">
        <v>0.51</v>
      </c>
      <c r="Y17" s="168">
        <v>0.09</v>
      </c>
      <c r="Z17" s="147">
        <v>0.09</v>
      </c>
      <c r="AA17" s="147">
        <v>0.15</v>
      </c>
      <c r="AB17" s="147">
        <v>0.15</v>
      </c>
      <c r="AC17" s="147">
        <v>0.51</v>
      </c>
      <c r="AD17" s="149">
        <v>0.51</v>
      </c>
      <c r="AE17" s="168">
        <v>0.16</v>
      </c>
      <c r="AF17" s="147">
        <v>0.16</v>
      </c>
      <c r="AG17" s="147">
        <v>0.26</v>
      </c>
      <c r="AH17" s="147">
        <v>0.25</v>
      </c>
      <c r="AI17" s="147">
        <v>0.8</v>
      </c>
      <c r="AJ17" s="149">
        <v>0.78</v>
      </c>
      <c r="AK17" s="40"/>
      <c r="AL17" s="175" t="s">
        <v>65</v>
      </c>
      <c r="AM17" s="183">
        <v>16.52</v>
      </c>
      <c r="AN17" s="161">
        <v>16.42</v>
      </c>
      <c r="AO17" s="161">
        <v>11.24</v>
      </c>
      <c r="AP17" s="161">
        <v>11.32</v>
      </c>
      <c r="AQ17" s="161">
        <v>9.85</v>
      </c>
      <c r="AR17" s="164">
        <v>9.87</v>
      </c>
      <c r="AS17" s="183">
        <v>16.52</v>
      </c>
      <c r="AT17" s="161">
        <v>16.42</v>
      </c>
      <c r="AU17" s="161">
        <v>11.24</v>
      </c>
      <c r="AV17" s="161">
        <v>11.32</v>
      </c>
      <c r="AW17" s="161">
        <v>9.85</v>
      </c>
      <c r="AX17" s="164">
        <v>9.87</v>
      </c>
      <c r="AY17" s="181">
        <v>22.39</v>
      </c>
      <c r="AZ17" s="161">
        <v>22.39</v>
      </c>
      <c r="BA17" s="161">
        <v>17.62</v>
      </c>
      <c r="BB17" s="161">
        <v>17.59</v>
      </c>
      <c r="BC17" s="161">
        <v>11.91</v>
      </c>
      <c r="BD17" s="164">
        <v>11.76</v>
      </c>
    </row>
    <row r="18" spans="2:56" ht="15" customHeight="1">
      <c r="B18" s="89" t="s">
        <v>108</v>
      </c>
      <c r="C18" s="93" t="s">
        <v>269</v>
      </c>
      <c r="D18" s="90">
        <f>IF(Table1[[#This Row],[Current (2025) Value known?]]="No",6,0)</f>
        <v>6</v>
      </c>
      <c r="E18" s="82">
        <f>25</f>
        <v>25</v>
      </c>
      <c r="F18" s="94" t="s">
        <v>269</v>
      </c>
      <c r="G18" s="84">
        <f>IF(Table1[[#This Row],[2026 Value known?]]="No",6,0)</f>
        <v>6</v>
      </c>
      <c r="H18" s="82">
        <v>25</v>
      </c>
      <c r="I18" s="83" t="s">
        <v>269</v>
      </c>
      <c r="J18" s="132">
        <v>6</v>
      </c>
      <c r="K18" s="131">
        <v>25</v>
      </c>
      <c r="L18" s="40"/>
      <c r="M18" s="40"/>
      <c r="N18" s="99" t="s">
        <v>280</v>
      </c>
      <c r="O18" s="93" t="s">
        <v>510</v>
      </c>
      <c r="P18" s="93" t="s">
        <v>510</v>
      </c>
      <c r="Q18" s="40"/>
      <c r="R18" s="175" t="s">
        <v>502</v>
      </c>
      <c r="S18" s="168">
        <v>0.07</v>
      </c>
      <c r="T18" s="147">
        <v>0.08</v>
      </c>
      <c r="U18" s="147">
        <v>0.29</v>
      </c>
      <c r="V18" s="147">
        <v>0.3</v>
      </c>
      <c r="W18" s="147">
        <v>0.59</v>
      </c>
      <c r="X18" s="149">
        <v>0.59</v>
      </c>
      <c r="Y18" s="168">
        <v>0.07</v>
      </c>
      <c r="Z18" s="147">
        <v>0.08</v>
      </c>
      <c r="AA18" s="147">
        <v>0.29</v>
      </c>
      <c r="AB18" s="147">
        <v>0.3</v>
      </c>
      <c r="AC18" s="147">
        <v>0.59</v>
      </c>
      <c r="AD18" s="149">
        <v>0.59</v>
      </c>
      <c r="AE18" s="168">
        <v>0.18</v>
      </c>
      <c r="AF18" s="147">
        <v>0.18</v>
      </c>
      <c r="AG18" s="147">
        <v>0.61</v>
      </c>
      <c r="AH18" s="147">
        <v>0.62</v>
      </c>
      <c r="AI18" s="147">
        <v>1</v>
      </c>
      <c r="AJ18" s="149">
        <v>1.01</v>
      </c>
      <c r="AK18" s="40"/>
      <c r="AL18" s="175" t="s">
        <v>502</v>
      </c>
      <c r="AM18" s="183">
        <v>30.56</v>
      </c>
      <c r="AN18" s="161">
        <v>31.47</v>
      </c>
      <c r="AO18" s="161">
        <v>20.94</v>
      </c>
      <c r="AP18" s="161">
        <v>21.21</v>
      </c>
      <c r="AQ18" s="161">
        <v>20.84</v>
      </c>
      <c r="AR18" s="164">
        <v>21.19</v>
      </c>
      <c r="AS18" s="183">
        <v>30.56</v>
      </c>
      <c r="AT18" s="161">
        <v>31.47</v>
      </c>
      <c r="AU18" s="161">
        <v>20.94</v>
      </c>
      <c r="AV18" s="161">
        <v>21.21</v>
      </c>
      <c r="AW18" s="161">
        <v>20.84</v>
      </c>
      <c r="AX18" s="164">
        <v>21.19</v>
      </c>
      <c r="AY18" s="181">
        <v>38.38</v>
      </c>
      <c r="AZ18" s="161">
        <v>38.38</v>
      </c>
      <c r="BA18" s="161">
        <v>27.25</v>
      </c>
      <c r="BB18" s="161">
        <v>28.27</v>
      </c>
      <c r="BC18" s="161">
        <v>23.37</v>
      </c>
      <c r="BD18" s="164">
        <v>23.83</v>
      </c>
    </row>
    <row r="19" spans="2:56" ht="15" customHeight="1">
      <c r="B19" s="88" t="s">
        <v>109</v>
      </c>
      <c r="C19" s="93" t="s">
        <v>267</v>
      </c>
      <c r="D19" s="364">
        <v>0.86</v>
      </c>
      <c r="E19" s="82">
        <f>25</f>
        <v>25</v>
      </c>
      <c r="F19" s="94" t="s">
        <v>267</v>
      </c>
      <c r="G19" s="363">
        <v>0.86</v>
      </c>
      <c r="H19" s="82">
        <v>25</v>
      </c>
      <c r="I19" s="83" t="s">
        <v>267</v>
      </c>
      <c r="J19" s="137">
        <f>0.25*0.9</f>
        <v>0.225</v>
      </c>
      <c r="K19" s="131">
        <f>Table1[[#This Row],[Post 2026 TN Discharge level (mg/l)]]</f>
        <v>25</v>
      </c>
      <c r="L19" s="40"/>
      <c r="M19" s="40"/>
      <c r="N19" s="99" t="s">
        <v>511</v>
      </c>
      <c r="O19" s="93">
        <v>9.7</v>
      </c>
      <c r="P19" s="100">
        <v>72.9</v>
      </c>
      <c r="Q19" s="40"/>
      <c r="R19" s="175" t="s">
        <v>325</v>
      </c>
      <c r="S19" s="168">
        <v>0.16</v>
      </c>
      <c r="T19" s="147">
        <v>0.18</v>
      </c>
      <c r="U19" s="147">
        <v>0.39</v>
      </c>
      <c r="V19" s="147">
        <v>0.43</v>
      </c>
      <c r="W19" s="147">
        <v>0.6</v>
      </c>
      <c r="X19" s="149">
        <v>0.65</v>
      </c>
      <c r="Y19" s="168">
        <v>0.16</v>
      </c>
      <c r="Z19" s="147">
        <v>0.18</v>
      </c>
      <c r="AA19" s="147">
        <v>0.39</v>
      </c>
      <c r="AB19" s="147">
        <v>0.43</v>
      </c>
      <c r="AC19" s="147">
        <v>0.6</v>
      </c>
      <c r="AD19" s="149">
        <v>0.65</v>
      </c>
      <c r="AE19" s="168">
        <v>0.37</v>
      </c>
      <c r="AF19" s="147">
        <v>0.37</v>
      </c>
      <c r="AG19" s="147">
        <v>0.8</v>
      </c>
      <c r="AH19" s="147">
        <v>0.85</v>
      </c>
      <c r="AI19" s="147">
        <v>1.06</v>
      </c>
      <c r="AJ19" s="149">
        <v>1.26</v>
      </c>
      <c r="AK19" s="40"/>
      <c r="AL19" s="175" t="s">
        <v>325</v>
      </c>
      <c r="AM19" s="183">
        <v>257.38</v>
      </c>
      <c r="AN19" s="161">
        <v>243.03</v>
      </c>
      <c r="AO19" s="161">
        <v>158.74</v>
      </c>
      <c r="AP19" s="161">
        <v>165.42</v>
      </c>
      <c r="AQ19" s="161">
        <v>146.43</v>
      </c>
      <c r="AR19" s="164">
        <v>156.49</v>
      </c>
      <c r="AS19" s="183">
        <v>257.38</v>
      </c>
      <c r="AT19" s="161">
        <v>243.03</v>
      </c>
      <c r="AU19" s="161">
        <v>158.74</v>
      </c>
      <c r="AV19" s="161">
        <v>165.42</v>
      </c>
      <c r="AW19" s="161">
        <v>146.43</v>
      </c>
      <c r="AX19" s="164">
        <v>156.49</v>
      </c>
      <c r="AY19" s="181">
        <v>287.23</v>
      </c>
      <c r="AZ19" s="161">
        <v>287.23</v>
      </c>
      <c r="BA19" s="161">
        <v>187.03</v>
      </c>
      <c r="BB19" s="161">
        <v>195.03</v>
      </c>
      <c r="BC19" s="161">
        <v>157.06</v>
      </c>
      <c r="BD19" s="164">
        <v>160.54</v>
      </c>
    </row>
    <row r="20" spans="2:56" ht="15" customHeight="1">
      <c r="B20" s="88" t="s">
        <v>110</v>
      </c>
      <c r="C20" s="93" t="s">
        <v>269</v>
      </c>
      <c r="D20" s="90">
        <f>IF(Table1[[#This Row],[Current (2025) Value known?]]="No",6,0)</f>
        <v>6</v>
      </c>
      <c r="E20" s="82">
        <f>25</f>
        <v>25</v>
      </c>
      <c r="F20" s="94" t="s">
        <v>269</v>
      </c>
      <c r="G20" s="84">
        <f>IF(Table1[[#This Row],[2026 Value known?]]="No",6,0)</f>
        <v>6</v>
      </c>
      <c r="H20" s="82">
        <v>25</v>
      </c>
      <c r="I20" s="83" t="s">
        <v>269</v>
      </c>
      <c r="J20" s="137">
        <f>0.25*0.9</f>
        <v>0.225</v>
      </c>
      <c r="K20" s="131">
        <v>25</v>
      </c>
      <c r="L20" s="40"/>
      <c r="M20" s="40"/>
      <c r="N20" s="99" t="s">
        <v>512</v>
      </c>
      <c r="O20" s="93" t="s">
        <v>510</v>
      </c>
      <c r="P20" s="93" t="s">
        <v>510</v>
      </c>
      <c r="Q20" s="40"/>
      <c r="R20" s="175" t="s">
        <v>504</v>
      </c>
      <c r="S20" s="168">
        <v>0.08</v>
      </c>
      <c r="T20" s="147">
        <v>0.1</v>
      </c>
      <c r="U20" s="147">
        <v>0.35</v>
      </c>
      <c r="V20" s="147">
        <v>0.38</v>
      </c>
      <c r="W20" s="147">
        <v>0.58</v>
      </c>
      <c r="X20" s="149">
        <v>0.62</v>
      </c>
      <c r="Y20" s="168">
        <v>0.08</v>
      </c>
      <c r="Z20" s="147">
        <v>0.1</v>
      </c>
      <c r="AA20" s="147">
        <v>0.35</v>
      </c>
      <c r="AB20" s="147">
        <v>0.38</v>
      </c>
      <c r="AC20" s="147">
        <v>0.58</v>
      </c>
      <c r="AD20" s="149">
        <v>0.62</v>
      </c>
      <c r="AE20" s="168">
        <v>0.23</v>
      </c>
      <c r="AF20" s="147">
        <v>0.23</v>
      </c>
      <c r="AG20" s="147">
        <v>0.77</v>
      </c>
      <c r="AH20" s="147">
        <v>0.82</v>
      </c>
      <c r="AI20" s="147">
        <v>1</v>
      </c>
      <c r="AJ20" s="149">
        <v>1.12</v>
      </c>
      <c r="AK20" s="40"/>
      <c r="AL20" s="175" t="s">
        <v>504</v>
      </c>
      <c r="AM20" s="183">
        <v>101.74</v>
      </c>
      <c r="AN20" s="161">
        <v>125.44</v>
      </c>
      <c r="AO20" s="161">
        <v>64.59</v>
      </c>
      <c r="AP20" s="161">
        <v>67</v>
      </c>
      <c r="AQ20" s="161">
        <v>60.94</v>
      </c>
      <c r="AR20" s="164">
        <v>64.61</v>
      </c>
      <c r="AS20" s="183">
        <v>101.74</v>
      </c>
      <c r="AT20" s="161">
        <v>125.44</v>
      </c>
      <c r="AU20" s="161">
        <v>64.59</v>
      </c>
      <c r="AV20" s="161">
        <v>67</v>
      </c>
      <c r="AW20" s="161">
        <v>60.94</v>
      </c>
      <c r="AX20" s="164">
        <v>64.61</v>
      </c>
      <c r="AY20" s="181">
        <v>147.9</v>
      </c>
      <c r="AZ20" s="161">
        <v>147.9</v>
      </c>
      <c r="BA20" s="161">
        <v>97.81</v>
      </c>
      <c r="BB20" s="161">
        <v>101.8</v>
      </c>
      <c r="BC20" s="161">
        <v>65.71</v>
      </c>
      <c r="BD20" s="164">
        <v>86.47</v>
      </c>
    </row>
    <row r="21" spans="2:56" ht="15" customHeight="1">
      <c r="B21" s="88" t="s">
        <v>111</v>
      </c>
      <c r="C21" s="93" t="s">
        <v>269</v>
      </c>
      <c r="D21" s="90">
        <f>IF(Table1[[#This Row],[Current (2025) Value known?]]="No",6,0)</f>
        <v>6</v>
      </c>
      <c r="E21" s="82">
        <f>25</f>
        <v>25</v>
      </c>
      <c r="F21" s="94" t="s">
        <v>269</v>
      </c>
      <c r="G21" s="84">
        <f>IF(Table1[[#This Row],[2026 Value known?]]="No",6,0)</f>
        <v>6</v>
      </c>
      <c r="H21" s="82">
        <v>25</v>
      </c>
      <c r="I21" s="83" t="s">
        <v>269</v>
      </c>
      <c r="J21" s="132">
        <v>6</v>
      </c>
      <c r="K21" s="131">
        <v>25</v>
      </c>
      <c r="L21" s="40"/>
      <c r="M21" s="40"/>
      <c r="N21" s="99" t="s">
        <v>513</v>
      </c>
      <c r="O21" s="93">
        <v>7</v>
      </c>
      <c r="P21" s="100">
        <v>96.3</v>
      </c>
      <c r="Q21" s="40"/>
      <c r="R21" s="175" t="s">
        <v>59</v>
      </c>
      <c r="S21" s="168">
        <v>0.05</v>
      </c>
      <c r="T21" s="147">
        <v>0.05</v>
      </c>
      <c r="U21" s="147">
        <v>0.31</v>
      </c>
      <c r="V21" s="147">
        <v>0.31</v>
      </c>
      <c r="W21" s="147">
        <v>0.52</v>
      </c>
      <c r="X21" s="149">
        <v>0.52</v>
      </c>
      <c r="Y21" s="168">
        <v>0.05</v>
      </c>
      <c r="Z21" s="147">
        <v>0.05</v>
      </c>
      <c r="AA21" s="147">
        <v>0.31</v>
      </c>
      <c r="AB21" s="147">
        <v>0.31</v>
      </c>
      <c r="AC21" s="147">
        <v>0.52</v>
      </c>
      <c r="AD21" s="149">
        <v>0.52</v>
      </c>
      <c r="AE21" s="168">
        <v>0.15</v>
      </c>
      <c r="AF21" s="147">
        <v>0.15</v>
      </c>
      <c r="AG21" s="147">
        <v>0.64</v>
      </c>
      <c r="AH21" s="147">
        <v>0.66</v>
      </c>
      <c r="AI21" s="147">
        <v>0.92</v>
      </c>
      <c r="AJ21" s="149">
        <v>0.92</v>
      </c>
      <c r="AK21" s="40"/>
      <c r="AL21" s="175" t="s">
        <v>59</v>
      </c>
      <c r="AM21" s="183">
        <v>21.86</v>
      </c>
      <c r="AN21" s="161">
        <v>22.15</v>
      </c>
      <c r="AO21" s="161">
        <v>15.39</v>
      </c>
      <c r="AP21" s="161">
        <v>15.5</v>
      </c>
      <c r="AQ21" s="161">
        <v>15.96</v>
      </c>
      <c r="AR21" s="164">
        <v>15.99</v>
      </c>
      <c r="AS21" s="183">
        <v>21.86</v>
      </c>
      <c r="AT21" s="161">
        <v>22.15</v>
      </c>
      <c r="AU21" s="161">
        <v>15.39</v>
      </c>
      <c r="AV21" s="161">
        <v>15.5</v>
      </c>
      <c r="AW21" s="161">
        <v>15.96</v>
      </c>
      <c r="AX21" s="164">
        <v>15.99</v>
      </c>
      <c r="AY21" s="181">
        <v>26.19</v>
      </c>
      <c r="AZ21" s="161">
        <v>26.19</v>
      </c>
      <c r="BA21" s="161">
        <v>19.05</v>
      </c>
      <c r="BB21" s="161">
        <v>19.13</v>
      </c>
      <c r="BC21" s="161">
        <v>17.12</v>
      </c>
      <c r="BD21" s="164">
        <v>17.15</v>
      </c>
    </row>
    <row r="22" spans="2:56" ht="15" customHeight="1">
      <c r="B22" s="89" t="s">
        <v>112</v>
      </c>
      <c r="C22" s="93" t="s">
        <v>269</v>
      </c>
      <c r="D22" s="90">
        <f>IF(Table1[[#This Row],[Current (2025) Value known?]]="No",6,0)</f>
        <v>6</v>
      </c>
      <c r="E22" s="82">
        <f>25</f>
        <v>25</v>
      </c>
      <c r="F22" s="94" t="s">
        <v>269</v>
      </c>
      <c r="G22" s="84">
        <f>IF(Table1[[#This Row],[2026 Value known?]]="No",6,0)</f>
        <v>6</v>
      </c>
      <c r="H22" s="82">
        <v>25</v>
      </c>
      <c r="I22" s="83" t="s">
        <v>269</v>
      </c>
      <c r="J22" s="132">
        <v>6</v>
      </c>
      <c r="K22" s="131">
        <v>25</v>
      </c>
      <c r="L22" s="40"/>
      <c r="M22" s="40"/>
      <c r="N22" s="101" t="s">
        <v>514</v>
      </c>
      <c r="O22" s="93">
        <v>11.6</v>
      </c>
      <c r="P22" s="100">
        <v>96.3</v>
      </c>
      <c r="Q22" s="40"/>
      <c r="R22" s="175" t="s">
        <v>57</v>
      </c>
      <c r="S22" s="168">
        <v>0.06</v>
      </c>
      <c r="T22" s="147">
        <v>0.06</v>
      </c>
      <c r="U22" s="147">
        <v>0.34</v>
      </c>
      <c r="V22" s="147">
        <v>0.34</v>
      </c>
      <c r="W22" s="147">
        <v>0.56</v>
      </c>
      <c r="X22" s="149">
        <v>0.56</v>
      </c>
      <c r="Y22" s="168">
        <v>0.06</v>
      </c>
      <c r="Z22" s="147">
        <v>0.06</v>
      </c>
      <c r="AA22" s="147">
        <v>0.34</v>
      </c>
      <c r="AB22" s="147">
        <v>0.34</v>
      </c>
      <c r="AC22" s="147">
        <v>0.56</v>
      </c>
      <c r="AD22" s="149">
        <v>0.56</v>
      </c>
      <c r="AE22" s="168">
        <v>0.17</v>
      </c>
      <c r="AF22" s="147">
        <v>0.18</v>
      </c>
      <c r="AG22" s="147">
        <v>0.73</v>
      </c>
      <c r="AH22" s="147">
        <v>0.74</v>
      </c>
      <c r="AI22" s="147">
        <v>0.98</v>
      </c>
      <c r="AJ22" s="149">
        <v>0.99</v>
      </c>
      <c r="AK22" s="40"/>
      <c r="AL22" s="175" t="s">
        <v>57</v>
      </c>
      <c r="AM22" s="183">
        <v>26.13</v>
      </c>
      <c r="AN22" s="161">
        <v>26.21</v>
      </c>
      <c r="AO22" s="161">
        <v>19.23</v>
      </c>
      <c r="AP22" s="161">
        <v>19.29</v>
      </c>
      <c r="AQ22" s="161">
        <v>20.56</v>
      </c>
      <c r="AR22" s="164">
        <v>20.62</v>
      </c>
      <c r="AS22" s="183">
        <v>26.13</v>
      </c>
      <c r="AT22" s="161">
        <v>26.21</v>
      </c>
      <c r="AU22" s="161">
        <v>19.23</v>
      </c>
      <c r="AV22" s="161">
        <v>19.29</v>
      </c>
      <c r="AW22" s="161">
        <v>20.56</v>
      </c>
      <c r="AX22" s="164">
        <v>20.62</v>
      </c>
      <c r="AY22" s="181">
        <v>31.21</v>
      </c>
      <c r="AZ22" s="161">
        <v>31.51</v>
      </c>
      <c r="BA22" s="161">
        <v>23.99</v>
      </c>
      <c r="BB22" s="161">
        <v>24.03</v>
      </c>
      <c r="BC22" s="161">
        <v>22.55</v>
      </c>
      <c r="BD22" s="164">
        <v>22.42</v>
      </c>
    </row>
    <row r="23" spans="2:56" ht="15" customHeight="1">
      <c r="B23" s="89" t="s">
        <v>113</v>
      </c>
      <c r="C23" s="93" t="s">
        <v>267</v>
      </c>
      <c r="D23" s="364">
        <v>0.76</v>
      </c>
      <c r="E23" s="82">
        <f>25</f>
        <v>25</v>
      </c>
      <c r="F23" s="94" t="s">
        <v>267</v>
      </c>
      <c r="G23" s="137">
        <f>0.25*0.9</f>
        <v>0.225</v>
      </c>
      <c r="H23" s="82">
        <v>25</v>
      </c>
      <c r="I23" s="83" t="s">
        <v>267</v>
      </c>
      <c r="J23" s="137">
        <f>0.25*0.9</f>
        <v>0.225</v>
      </c>
      <c r="K23" s="360">
        <v>9</v>
      </c>
      <c r="L23" s="40"/>
      <c r="M23" s="40"/>
      <c r="N23" s="40"/>
      <c r="O23" s="92"/>
      <c r="P23" s="40"/>
      <c r="Q23" s="40"/>
      <c r="R23" s="175" t="s">
        <v>71</v>
      </c>
      <c r="S23" s="168">
        <v>0.05</v>
      </c>
      <c r="T23" s="147">
        <v>0.05</v>
      </c>
      <c r="U23" s="147">
        <v>0.29</v>
      </c>
      <c r="V23" s="147">
        <v>0.29</v>
      </c>
      <c r="W23" s="147">
        <v>0.49</v>
      </c>
      <c r="X23" s="149">
        <v>0.49</v>
      </c>
      <c r="Y23" s="168">
        <v>0.05</v>
      </c>
      <c r="Z23" s="147">
        <v>0.05</v>
      </c>
      <c r="AA23" s="147">
        <v>0.29</v>
      </c>
      <c r="AB23" s="147">
        <v>0.29</v>
      </c>
      <c r="AC23" s="147">
        <v>0.49</v>
      </c>
      <c r="AD23" s="149">
        <v>0.49</v>
      </c>
      <c r="AE23" s="168">
        <v>0.15</v>
      </c>
      <c r="AF23" s="147">
        <v>0.15</v>
      </c>
      <c r="AG23" s="147">
        <v>0.61</v>
      </c>
      <c r="AH23" s="147">
        <v>0.62</v>
      </c>
      <c r="AI23" s="147">
        <v>0.85</v>
      </c>
      <c r="AJ23" s="149">
        <v>0.86</v>
      </c>
      <c r="AK23" s="40"/>
      <c r="AL23" s="175" t="s">
        <v>71</v>
      </c>
      <c r="AM23" s="183">
        <v>24.7</v>
      </c>
      <c r="AN23" s="161">
        <v>24.77</v>
      </c>
      <c r="AO23" s="161">
        <v>17.41</v>
      </c>
      <c r="AP23" s="161">
        <v>17.46</v>
      </c>
      <c r="AQ23" s="161">
        <v>18.16</v>
      </c>
      <c r="AR23" s="164">
        <v>18.2</v>
      </c>
      <c r="AS23" s="183">
        <v>24.7</v>
      </c>
      <c r="AT23" s="161">
        <v>24.77</v>
      </c>
      <c r="AU23" s="161">
        <v>17.41</v>
      </c>
      <c r="AV23" s="161">
        <v>17.46</v>
      </c>
      <c r="AW23" s="161">
        <v>18.16</v>
      </c>
      <c r="AX23" s="164">
        <v>18.2</v>
      </c>
      <c r="AY23" s="181">
        <v>31.17</v>
      </c>
      <c r="AZ23" s="161">
        <v>31.25</v>
      </c>
      <c r="BA23" s="161">
        <v>21.56</v>
      </c>
      <c r="BB23" s="161">
        <v>22.76</v>
      </c>
      <c r="BC23" s="161">
        <v>19.53</v>
      </c>
      <c r="BD23" s="164">
        <v>20.53</v>
      </c>
    </row>
    <row r="24" spans="2:56" ht="15" customHeight="1" thickBot="1">
      <c r="B24" s="88" t="s">
        <v>114</v>
      </c>
      <c r="C24" s="93" t="s">
        <v>269</v>
      </c>
      <c r="D24" s="90">
        <f>IF(Table1[[#This Row],[Current (2025) Value known?]]="No",6,0)</f>
        <v>6</v>
      </c>
      <c r="E24" s="82">
        <f>25</f>
        <v>25</v>
      </c>
      <c r="F24" s="94" t="s">
        <v>269</v>
      </c>
      <c r="G24" s="84">
        <f>IF(Table1[[#This Row],[2026 Value known?]]="No",6,0)</f>
        <v>6</v>
      </c>
      <c r="H24" s="82">
        <v>25</v>
      </c>
      <c r="I24" s="83" t="s">
        <v>269</v>
      </c>
      <c r="J24" s="132">
        <v>6</v>
      </c>
      <c r="K24" s="131">
        <v>25</v>
      </c>
      <c r="L24" s="40"/>
      <c r="M24" s="40"/>
      <c r="N24" s="40"/>
      <c r="O24" s="351"/>
      <c r="P24" s="40"/>
      <c r="Q24" s="40"/>
      <c r="R24" s="176" t="s">
        <v>505</v>
      </c>
      <c r="S24" s="150">
        <v>0.05</v>
      </c>
      <c r="T24" s="151">
        <v>0.05</v>
      </c>
      <c r="U24" s="151">
        <v>0.05</v>
      </c>
      <c r="V24" s="151">
        <v>0.05</v>
      </c>
      <c r="W24" s="151">
        <v>0.05</v>
      </c>
      <c r="X24" s="152">
        <v>0.05</v>
      </c>
      <c r="Y24" s="150">
        <v>0.05</v>
      </c>
      <c r="Z24" s="151">
        <v>0.05</v>
      </c>
      <c r="AA24" s="151">
        <v>0.05</v>
      </c>
      <c r="AB24" s="151">
        <v>0.05</v>
      </c>
      <c r="AC24" s="151">
        <v>0.05</v>
      </c>
      <c r="AD24" s="152">
        <v>0.05</v>
      </c>
      <c r="AE24" s="150">
        <v>0.62</v>
      </c>
      <c r="AF24" s="151">
        <v>0.62</v>
      </c>
      <c r="AG24" s="151">
        <v>0.62</v>
      </c>
      <c r="AH24" s="151">
        <v>0.62</v>
      </c>
      <c r="AI24" s="151">
        <v>0.62</v>
      </c>
      <c r="AJ24" s="152">
        <v>0.62</v>
      </c>
      <c r="AK24" s="40"/>
      <c r="AL24" s="176" t="s">
        <v>505</v>
      </c>
      <c r="AM24" s="150">
        <v>24.77</v>
      </c>
      <c r="AN24" s="151">
        <v>24.77</v>
      </c>
      <c r="AO24" s="151">
        <v>24.77</v>
      </c>
      <c r="AP24" s="151">
        <v>24.77</v>
      </c>
      <c r="AQ24" s="151">
        <v>24.77</v>
      </c>
      <c r="AR24" s="152">
        <v>24.77</v>
      </c>
      <c r="AS24" s="150">
        <v>24.77</v>
      </c>
      <c r="AT24" s="151">
        <v>24.77</v>
      </c>
      <c r="AU24" s="151">
        <v>24.77</v>
      </c>
      <c r="AV24" s="151">
        <v>24.77</v>
      </c>
      <c r="AW24" s="151">
        <v>24.77</v>
      </c>
      <c r="AX24" s="152">
        <v>24.77</v>
      </c>
      <c r="AY24" s="184">
        <v>26.19</v>
      </c>
      <c r="AZ24" s="165">
        <v>26.19</v>
      </c>
      <c r="BA24" s="165">
        <v>26.19</v>
      </c>
      <c r="BB24" s="165">
        <v>26.19</v>
      </c>
      <c r="BC24" s="165">
        <v>26.19</v>
      </c>
      <c r="BD24" s="166">
        <v>26.19</v>
      </c>
    </row>
    <row r="25" spans="2:56" ht="23.7" customHeight="1" thickBot="1">
      <c r="B25" s="89" t="s">
        <v>115</v>
      </c>
      <c r="C25" s="93" t="s">
        <v>269</v>
      </c>
      <c r="D25" s="90">
        <f>IF(Table1[[#This Row],[Current (2025) Value known?]]="No",6,0)</f>
        <v>6</v>
      </c>
      <c r="E25" s="82">
        <f>25</f>
        <v>25</v>
      </c>
      <c r="F25" s="94" t="s">
        <v>269</v>
      </c>
      <c r="G25" s="84">
        <f>IF(Table1[[#This Row],[2026 Value known?]]="No",6,0)</f>
        <v>6</v>
      </c>
      <c r="H25" s="82">
        <v>25</v>
      </c>
      <c r="I25" s="83" t="s">
        <v>269</v>
      </c>
      <c r="J25" s="132">
        <v>6</v>
      </c>
      <c r="K25" s="131">
        <v>25</v>
      </c>
      <c r="L25" s="40"/>
      <c r="M25" s="40"/>
      <c r="N25" s="40"/>
      <c r="O25" s="40"/>
      <c r="P25" s="40"/>
      <c r="Q25" s="40"/>
      <c r="R25" s="74" t="s">
        <v>515</v>
      </c>
      <c r="S25" s="462" t="s">
        <v>497</v>
      </c>
      <c r="T25" s="463"/>
      <c r="U25" s="463"/>
      <c r="V25" s="463"/>
      <c r="W25" s="463"/>
      <c r="X25" s="464"/>
      <c r="Y25" s="462" t="s">
        <v>498</v>
      </c>
      <c r="Z25" s="463"/>
      <c r="AA25" s="463"/>
      <c r="AB25" s="463"/>
      <c r="AC25" s="463"/>
      <c r="AD25" s="464"/>
      <c r="AE25" s="462" t="s">
        <v>499</v>
      </c>
      <c r="AF25" s="463"/>
      <c r="AG25" s="463"/>
      <c r="AH25" s="463"/>
      <c r="AI25" s="463"/>
      <c r="AJ25" s="464"/>
      <c r="AK25" s="40"/>
      <c r="AL25" s="74" t="s">
        <v>515</v>
      </c>
      <c r="AM25" s="462" t="s">
        <v>497</v>
      </c>
      <c r="AN25" s="463"/>
      <c r="AO25" s="463"/>
      <c r="AP25" s="463"/>
      <c r="AQ25" s="463"/>
      <c r="AR25" s="464"/>
      <c r="AS25" s="462" t="s">
        <v>498</v>
      </c>
      <c r="AT25" s="463"/>
      <c r="AU25" s="463"/>
      <c r="AV25" s="463"/>
      <c r="AW25" s="463"/>
      <c r="AX25" s="464"/>
      <c r="AY25" s="462" t="s">
        <v>499</v>
      </c>
      <c r="AZ25" s="463"/>
      <c r="BA25" s="463"/>
      <c r="BB25" s="463"/>
      <c r="BC25" s="463"/>
      <c r="BD25" s="464"/>
    </row>
    <row r="26" spans="2:56" ht="39" customHeight="1" thickBot="1">
      <c r="B26" s="89" t="s">
        <v>116</v>
      </c>
      <c r="C26" s="93" t="s">
        <v>269</v>
      </c>
      <c r="D26" s="90">
        <f>IF(Table1[[#This Row],[Current (2025) Value known?]]="No",6,0)</f>
        <v>6</v>
      </c>
      <c r="E26" s="82">
        <f>25</f>
        <v>25</v>
      </c>
      <c r="F26" s="94" t="s">
        <v>269</v>
      </c>
      <c r="G26" s="84">
        <f>IF(Table1[[#This Row],[2026 Value known?]]="No",6,0)</f>
        <v>6</v>
      </c>
      <c r="H26" s="82">
        <v>25</v>
      </c>
      <c r="I26" s="83" t="s">
        <v>269</v>
      </c>
      <c r="J26" s="84">
        <v>6</v>
      </c>
      <c r="K26" s="353">
        <v>25</v>
      </c>
      <c r="L26" s="40"/>
      <c r="M26" s="40"/>
      <c r="N26" s="40"/>
      <c r="O26" s="40"/>
      <c r="P26" s="40"/>
      <c r="Q26" s="40"/>
      <c r="R26" s="177" t="s">
        <v>41</v>
      </c>
      <c r="S26" s="467" t="s">
        <v>183</v>
      </c>
      <c r="T26" s="468"/>
      <c r="U26" s="456" t="s">
        <v>500</v>
      </c>
      <c r="V26" s="455"/>
      <c r="W26" s="456" t="s">
        <v>501</v>
      </c>
      <c r="X26" s="457"/>
      <c r="Y26" s="454" t="s">
        <v>183</v>
      </c>
      <c r="Z26" s="455"/>
      <c r="AA26" s="456" t="s">
        <v>500</v>
      </c>
      <c r="AB26" s="455"/>
      <c r="AC26" s="456" t="s">
        <v>501</v>
      </c>
      <c r="AD26" s="457"/>
      <c r="AE26" s="469" t="s">
        <v>183</v>
      </c>
      <c r="AF26" s="455"/>
      <c r="AG26" s="456" t="s">
        <v>500</v>
      </c>
      <c r="AH26" s="455"/>
      <c r="AI26" s="456" t="s">
        <v>501</v>
      </c>
      <c r="AJ26" s="457"/>
      <c r="AK26" s="40"/>
      <c r="AL26" s="155" t="s">
        <v>41</v>
      </c>
      <c r="AM26" s="156" t="s">
        <v>183</v>
      </c>
      <c r="AN26" s="157"/>
      <c r="AO26" s="456" t="s">
        <v>500</v>
      </c>
      <c r="AP26" s="455"/>
      <c r="AQ26" s="456" t="s">
        <v>501</v>
      </c>
      <c r="AR26" s="457"/>
      <c r="AS26" s="454" t="s">
        <v>183</v>
      </c>
      <c r="AT26" s="455"/>
      <c r="AU26" s="456" t="s">
        <v>500</v>
      </c>
      <c r="AV26" s="455"/>
      <c r="AW26" s="456" t="s">
        <v>501</v>
      </c>
      <c r="AX26" s="457"/>
      <c r="AY26" s="454" t="s">
        <v>183</v>
      </c>
      <c r="AZ26" s="455"/>
      <c r="BA26" s="456" t="s">
        <v>500</v>
      </c>
      <c r="BB26" s="455"/>
      <c r="BC26" s="456" t="s">
        <v>501</v>
      </c>
      <c r="BD26" s="457"/>
    </row>
    <row r="27" spans="2:56" ht="13.8">
      <c r="B27" s="89" t="s">
        <v>117</v>
      </c>
      <c r="C27" s="93" t="s">
        <v>267</v>
      </c>
      <c r="D27" s="134">
        <f>1*0.9</f>
        <v>0.9</v>
      </c>
      <c r="E27" s="82">
        <f>25</f>
        <v>25</v>
      </c>
      <c r="F27" s="94" t="s">
        <v>267</v>
      </c>
      <c r="G27" s="137">
        <f>Table1[[#This Row],[Current (2025) TP Discharge level (mg/l)]]</f>
        <v>0.9</v>
      </c>
      <c r="H27" s="82">
        <v>25</v>
      </c>
      <c r="I27" s="83" t="s">
        <v>267</v>
      </c>
      <c r="J27" s="137">
        <f>0.25*0.9</f>
        <v>0.225</v>
      </c>
      <c r="K27" s="358">
        <f>10*0.9</f>
        <v>9</v>
      </c>
      <c r="L27" s="40"/>
      <c r="M27" s="40"/>
      <c r="N27" s="40"/>
      <c r="O27" s="40"/>
      <c r="P27" s="40"/>
      <c r="Q27" s="40"/>
      <c r="R27" s="178" t="s">
        <v>55</v>
      </c>
      <c r="S27" s="167">
        <v>0.14</v>
      </c>
      <c r="T27" s="159">
        <v>0.14</v>
      </c>
      <c r="U27" s="159">
        <v>0.28</v>
      </c>
      <c r="V27" s="159">
        <v>0.28</v>
      </c>
      <c r="W27" s="159">
        <v>0.88</v>
      </c>
      <c r="X27" s="160">
        <v>0.9</v>
      </c>
      <c r="Y27" s="167">
        <v>0.14</v>
      </c>
      <c r="Z27" s="159">
        <v>0.14</v>
      </c>
      <c r="AA27" s="159">
        <v>0.28</v>
      </c>
      <c r="AB27" s="159">
        <v>0.28</v>
      </c>
      <c r="AC27" s="159">
        <v>0.88</v>
      </c>
      <c r="AD27" s="160">
        <v>0.9</v>
      </c>
      <c r="AE27" s="179">
        <v>1.31</v>
      </c>
      <c r="AF27" s="159">
        <v>0.98</v>
      </c>
      <c r="AG27" s="159">
        <v>1.31</v>
      </c>
      <c r="AH27" s="159">
        <v>0.98</v>
      </c>
      <c r="AI27" s="159">
        <v>1.31</v>
      </c>
      <c r="AJ27" s="160">
        <v>1.31</v>
      </c>
      <c r="AK27" s="40"/>
      <c r="AL27" s="178" t="s">
        <v>55</v>
      </c>
      <c r="AM27" s="182">
        <v>35.87</v>
      </c>
      <c r="AN27" s="162">
        <v>35.8</v>
      </c>
      <c r="AO27" s="162">
        <v>24.09</v>
      </c>
      <c r="AP27" s="162">
        <v>24.35</v>
      </c>
      <c r="AQ27" s="162">
        <v>19.06</v>
      </c>
      <c r="AR27" s="163">
        <v>19.43</v>
      </c>
      <c r="AS27" s="182">
        <v>35.87</v>
      </c>
      <c r="AT27" s="162">
        <v>35.8</v>
      </c>
      <c r="AU27" s="162">
        <v>24.09</v>
      </c>
      <c r="AV27" s="162">
        <v>24.35</v>
      </c>
      <c r="AW27" s="162">
        <v>19.06</v>
      </c>
      <c r="AX27" s="163">
        <v>19.43</v>
      </c>
      <c r="AY27" s="180">
        <v>22.54</v>
      </c>
      <c r="AZ27" s="162">
        <v>18.1</v>
      </c>
      <c r="BA27" s="162">
        <v>22.54</v>
      </c>
      <c r="BB27" s="162">
        <v>18.1</v>
      </c>
      <c r="BC27" s="162">
        <v>22.54</v>
      </c>
      <c r="BD27" s="163">
        <v>22.54</v>
      </c>
    </row>
    <row r="28" spans="2:56" ht="13.8">
      <c r="B28" s="89" t="s">
        <v>118</v>
      </c>
      <c r="C28" s="93" t="s">
        <v>269</v>
      </c>
      <c r="D28" s="90">
        <f>IF(Table1[[#This Row],[Current (2025) Value known?]]="No",6,0)</f>
        <v>6</v>
      </c>
      <c r="E28" s="82">
        <f>25</f>
        <v>25</v>
      </c>
      <c r="F28" s="94" t="s">
        <v>269</v>
      </c>
      <c r="G28" s="84">
        <f>IF(Table1[[#This Row],[2026 Value known?]]="No",6,0)</f>
        <v>6</v>
      </c>
      <c r="H28" s="82">
        <v>25</v>
      </c>
      <c r="I28" s="83" t="s">
        <v>269</v>
      </c>
      <c r="J28" s="132">
        <v>6</v>
      </c>
      <c r="K28" s="353">
        <v>25</v>
      </c>
      <c r="L28" s="40"/>
      <c r="M28" s="40"/>
      <c r="N28" s="40"/>
      <c r="O28" s="40"/>
      <c r="P28" s="40"/>
      <c r="Q28" s="40"/>
      <c r="R28" s="175" t="s">
        <v>65</v>
      </c>
      <c r="S28" s="168">
        <v>0.1</v>
      </c>
      <c r="T28" s="147">
        <v>0.1</v>
      </c>
      <c r="U28" s="147">
        <v>0.16</v>
      </c>
      <c r="V28" s="147">
        <v>0.16</v>
      </c>
      <c r="W28" s="147">
        <v>0.5</v>
      </c>
      <c r="X28" s="149">
        <v>0.5</v>
      </c>
      <c r="Y28" s="168">
        <v>0.1</v>
      </c>
      <c r="Z28" s="147">
        <v>0.1</v>
      </c>
      <c r="AA28" s="147">
        <v>0.16</v>
      </c>
      <c r="AB28" s="147">
        <v>0.16</v>
      </c>
      <c r="AC28" s="147">
        <v>0.5</v>
      </c>
      <c r="AD28" s="149">
        <v>0.5</v>
      </c>
      <c r="AE28" s="170">
        <v>0.17</v>
      </c>
      <c r="AF28" s="147">
        <v>0.16</v>
      </c>
      <c r="AG28" s="147">
        <v>0.28</v>
      </c>
      <c r="AH28" s="147">
        <v>0.25</v>
      </c>
      <c r="AI28" s="147">
        <v>0.85</v>
      </c>
      <c r="AJ28" s="149">
        <v>0.78</v>
      </c>
      <c r="AK28" s="40"/>
      <c r="AL28" s="175" t="s">
        <v>65</v>
      </c>
      <c r="AM28" s="183">
        <v>18.15</v>
      </c>
      <c r="AN28" s="161">
        <v>18.29</v>
      </c>
      <c r="AO28" s="161">
        <v>12.39</v>
      </c>
      <c r="AP28" s="161">
        <v>12.48</v>
      </c>
      <c r="AQ28" s="161">
        <v>9.65</v>
      </c>
      <c r="AR28" s="164">
        <v>9.68</v>
      </c>
      <c r="AS28" s="183">
        <v>18.15</v>
      </c>
      <c r="AT28" s="161">
        <v>18.29</v>
      </c>
      <c r="AU28" s="161">
        <v>12.39</v>
      </c>
      <c r="AV28" s="161">
        <v>12.48</v>
      </c>
      <c r="AW28" s="161">
        <v>9.65</v>
      </c>
      <c r="AX28" s="164">
        <v>9.68</v>
      </c>
      <c r="AY28" s="181">
        <v>25</v>
      </c>
      <c r="AZ28" s="161">
        <v>22.39</v>
      </c>
      <c r="BA28" s="161">
        <v>19.5</v>
      </c>
      <c r="BB28" s="161">
        <v>17.59</v>
      </c>
      <c r="BC28" s="161">
        <v>13.14</v>
      </c>
      <c r="BD28" s="164">
        <v>11.76</v>
      </c>
    </row>
    <row r="29" spans="2:56" ht="13.8">
      <c r="B29" s="89" t="s">
        <v>119</v>
      </c>
      <c r="C29" s="93" t="s">
        <v>269</v>
      </c>
      <c r="D29" s="90">
        <f>IF(Table1[[#This Row],[Current (2025) Value known?]]="No",6,0)</f>
        <v>6</v>
      </c>
      <c r="E29" s="82">
        <f>25</f>
        <v>25</v>
      </c>
      <c r="F29" s="94" t="s">
        <v>269</v>
      </c>
      <c r="G29" s="84">
        <f>IF(Table1[[#This Row],[2026 Value known?]]="No",6,0)</f>
        <v>6</v>
      </c>
      <c r="H29" s="82">
        <v>25</v>
      </c>
      <c r="I29" s="83" t="s">
        <v>267</v>
      </c>
      <c r="J29" s="137">
        <f>0.25*0.9</f>
        <v>0.225</v>
      </c>
      <c r="K29" s="358">
        <f>10*0.9</f>
        <v>9</v>
      </c>
      <c r="L29" s="40"/>
      <c r="M29" s="40"/>
      <c r="N29" s="40"/>
      <c r="O29" s="40"/>
      <c r="P29" s="40"/>
      <c r="Q29" s="40"/>
      <c r="R29" s="175" t="s">
        <v>502</v>
      </c>
      <c r="S29" s="168">
        <v>0.09</v>
      </c>
      <c r="T29" s="147">
        <v>0.09</v>
      </c>
      <c r="U29" s="147">
        <v>0.33</v>
      </c>
      <c r="V29" s="147">
        <v>0.33</v>
      </c>
      <c r="W29" s="147">
        <v>0.6</v>
      </c>
      <c r="X29" s="149">
        <v>0.6</v>
      </c>
      <c r="Y29" s="168">
        <v>0.09</v>
      </c>
      <c r="Z29" s="147">
        <v>0.09</v>
      </c>
      <c r="AA29" s="147">
        <v>0.33</v>
      </c>
      <c r="AB29" s="147">
        <v>0.33</v>
      </c>
      <c r="AC29" s="147">
        <v>0.6</v>
      </c>
      <c r="AD29" s="149">
        <v>0.6</v>
      </c>
      <c r="AE29" s="170">
        <v>0.2</v>
      </c>
      <c r="AF29" s="147">
        <v>0.18</v>
      </c>
      <c r="AG29" s="147">
        <v>0.67</v>
      </c>
      <c r="AH29" s="147">
        <v>0.62</v>
      </c>
      <c r="AI29" s="147">
        <v>1</v>
      </c>
      <c r="AJ29" s="149">
        <v>1.01</v>
      </c>
      <c r="AK29" s="40"/>
      <c r="AL29" s="175" t="s">
        <v>502</v>
      </c>
      <c r="AM29" s="183">
        <v>34.6</v>
      </c>
      <c r="AN29" s="161">
        <v>34.74</v>
      </c>
      <c r="AO29" s="161">
        <v>23.56</v>
      </c>
      <c r="AP29" s="161">
        <v>23.85</v>
      </c>
      <c r="AQ29" s="161">
        <v>21.18</v>
      </c>
      <c r="AR29" s="164">
        <v>21.55</v>
      </c>
      <c r="AS29" s="183">
        <v>34.6</v>
      </c>
      <c r="AT29" s="161">
        <v>34.74</v>
      </c>
      <c r="AU29" s="161">
        <v>23.56</v>
      </c>
      <c r="AV29" s="161">
        <v>23.85</v>
      </c>
      <c r="AW29" s="161">
        <v>21.18</v>
      </c>
      <c r="AX29" s="164">
        <v>21.55</v>
      </c>
      <c r="AY29" s="181">
        <v>42.91</v>
      </c>
      <c r="AZ29" s="161">
        <v>38.38</v>
      </c>
      <c r="BA29" s="161">
        <v>31.32</v>
      </c>
      <c r="BB29" s="161">
        <v>28.27</v>
      </c>
      <c r="BC29" s="161">
        <v>23.37</v>
      </c>
      <c r="BD29" s="164">
        <v>23.83</v>
      </c>
    </row>
    <row r="30" spans="2:56" ht="13.8">
      <c r="B30" s="89" t="s">
        <v>120</v>
      </c>
      <c r="C30" s="93" t="s">
        <v>269</v>
      </c>
      <c r="D30" s="90">
        <f>IF(Table1[[#This Row],[Current (2025) Value known?]]="No",6,0)</f>
        <v>6</v>
      </c>
      <c r="E30" s="82">
        <f>25</f>
        <v>25</v>
      </c>
      <c r="F30" s="94" t="s">
        <v>269</v>
      </c>
      <c r="G30" s="84">
        <f>IF(Table1[[#This Row],[2026 Value known?]]="No",6,0)</f>
        <v>6</v>
      </c>
      <c r="H30" s="82">
        <v>25</v>
      </c>
      <c r="I30" s="83" t="s">
        <v>269</v>
      </c>
      <c r="J30" s="132">
        <v>6</v>
      </c>
      <c r="K30" s="131">
        <v>25</v>
      </c>
      <c r="L30" s="40"/>
      <c r="M30" s="40"/>
      <c r="N30" s="40"/>
      <c r="O30" s="40"/>
      <c r="P30" s="40"/>
      <c r="Q30" s="40"/>
      <c r="R30" s="175" t="s">
        <v>325</v>
      </c>
      <c r="S30" s="168">
        <v>0.16</v>
      </c>
      <c r="T30" s="147">
        <v>0.16</v>
      </c>
      <c r="U30" s="147">
        <v>0.41</v>
      </c>
      <c r="V30" s="147">
        <v>0.44</v>
      </c>
      <c r="W30" s="147">
        <v>0.71</v>
      </c>
      <c r="X30" s="149">
        <v>0.75</v>
      </c>
      <c r="Y30" s="168">
        <v>0.16</v>
      </c>
      <c r="Z30" s="147">
        <v>0.16</v>
      </c>
      <c r="AA30" s="147">
        <v>0.41</v>
      </c>
      <c r="AB30" s="147">
        <v>0.44</v>
      </c>
      <c r="AC30" s="147">
        <v>0.71</v>
      </c>
      <c r="AD30" s="149">
        <v>0.75</v>
      </c>
      <c r="AE30" s="170">
        <v>0.34</v>
      </c>
      <c r="AF30" s="147">
        <v>0.37</v>
      </c>
      <c r="AG30" s="147">
        <v>0.8</v>
      </c>
      <c r="AH30" s="147">
        <v>0.85</v>
      </c>
      <c r="AI30" s="147">
        <v>1.2</v>
      </c>
      <c r="AJ30" s="149">
        <v>1.26</v>
      </c>
      <c r="AK30" s="40"/>
      <c r="AL30" s="175" t="s">
        <v>325</v>
      </c>
      <c r="AM30" s="183">
        <v>228.65</v>
      </c>
      <c r="AN30" s="161">
        <v>227.66</v>
      </c>
      <c r="AO30" s="161">
        <v>141.9</v>
      </c>
      <c r="AP30" s="161">
        <v>147.63</v>
      </c>
      <c r="AQ30" s="161">
        <v>138.11</v>
      </c>
      <c r="AR30" s="164">
        <v>147.41</v>
      </c>
      <c r="AS30" s="183">
        <v>228.65</v>
      </c>
      <c r="AT30" s="161">
        <v>227.66</v>
      </c>
      <c r="AU30" s="161">
        <v>141.9</v>
      </c>
      <c r="AV30" s="161">
        <v>147.63</v>
      </c>
      <c r="AW30" s="161">
        <v>138.11</v>
      </c>
      <c r="AX30" s="164">
        <v>147.41</v>
      </c>
      <c r="AY30" s="181">
        <v>268.72</v>
      </c>
      <c r="AZ30" s="161">
        <v>287.23</v>
      </c>
      <c r="BA30" s="161">
        <v>175.37</v>
      </c>
      <c r="BB30" s="161">
        <v>195.03</v>
      </c>
      <c r="BC30" s="161">
        <v>148.53</v>
      </c>
      <c r="BD30" s="164">
        <v>160.54</v>
      </c>
    </row>
    <row r="31" spans="2:56" ht="13.8">
      <c r="B31" s="89" t="s">
        <v>121</v>
      </c>
      <c r="C31" s="93" t="s">
        <v>267</v>
      </c>
      <c r="D31" s="364">
        <v>0.89</v>
      </c>
      <c r="E31" s="82">
        <f>25</f>
        <v>25</v>
      </c>
      <c r="F31" s="94" t="s">
        <v>267</v>
      </c>
      <c r="G31" s="363">
        <v>0.89</v>
      </c>
      <c r="H31" s="82">
        <v>25</v>
      </c>
      <c r="I31" s="83" t="s">
        <v>267</v>
      </c>
      <c r="J31" s="363">
        <f>Table1[[#This Row],[Post 2026 TP Discharge level (mg/l)]]</f>
        <v>0.89</v>
      </c>
      <c r="K31" s="131">
        <f>Table1[[#This Row],[Post 2026 TN Discharge level (mg/l)]]</f>
        <v>25</v>
      </c>
      <c r="L31" s="40"/>
      <c r="M31" s="40"/>
      <c r="N31" s="40"/>
      <c r="O31" s="40"/>
      <c r="P31" s="40"/>
      <c r="Q31" s="40"/>
      <c r="R31" s="175" t="s">
        <v>504</v>
      </c>
      <c r="S31" s="168">
        <v>0.08</v>
      </c>
      <c r="T31" s="147">
        <v>0.08</v>
      </c>
      <c r="U31" s="147">
        <v>0.38</v>
      </c>
      <c r="V31" s="147">
        <v>0.42</v>
      </c>
      <c r="W31" s="147">
        <v>0.62</v>
      </c>
      <c r="X31" s="149">
        <v>0.68</v>
      </c>
      <c r="Y31" s="168">
        <v>0.08</v>
      </c>
      <c r="Z31" s="147">
        <v>0.08</v>
      </c>
      <c r="AA31" s="147">
        <v>0.38</v>
      </c>
      <c r="AB31" s="147">
        <v>0.42</v>
      </c>
      <c r="AC31" s="147">
        <v>0.62</v>
      </c>
      <c r="AD31" s="149">
        <v>0.68</v>
      </c>
      <c r="AE31" s="170">
        <v>0.21</v>
      </c>
      <c r="AF31" s="147">
        <v>0.23</v>
      </c>
      <c r="AG31" s="147">
        <v>0.77</v>
      </c>
      <c r="AH31" s="147">
        <v>0.82</v>
      </c>
      <c r="AI31" s="147">
        <v>1.06</v>
      </c>
      <c r="AJ31" s="149">
        <v>1.12</v>
      </c>
      <c r="AK31" s="40"/>
      <c r="AL31" s="175" t="s">
        <v>504</v>
      </c>
      <c r="AM31" s="183">
        <v>89.8</v>
      </c>
      <c r="AN31" s="161">
        <v>89.51</v>
      </c>
      <c r="AO31" s="161">
        <v>57.34</v>
      </c>
      <c r="AP31" s="161">
        <v>82.66</v>
      </c>
      <c r="AQ31" s="161">
        <v>74.68</v>
      </c>
      <c r="AR31" s="164">
        <v>79.38</v>
      </c>
      <c r="AS31" s="183">
        <v>89.8</v>
      </c>
      <c r="AT31" s="161">
        <v>89.51</v>
      </c>
      <c r="AU31" s="161">
        <v>57.34</v>
      </c>
      <c r="AV31" s="161">
        <v>82.66</v>
      </c>
      <c r="AW31" s="161">
        <v>74.68</v>
      </c>
      <c r="AX31" s="164">
        <v>79.38</v>
      </c>
      <c r="AY31" s="181">
        <v>105.49</v>
      </c>
      <c r="AZ31" s="161">
        <v>147.9</v>
      </c>
      <c r="BA31" s="161">
        <v>97.81</v>
      </c>
      <c r="BB31" s="161">
        <v>101.8</v>
      </c>
      <c r="BC31" s="161">
        <v>80.36</v>
      </c>
      <c r="BD31" s="164">
        <v>86.47</v>
      </c>
    </row>
    <row r="32" spans="2:56" ht="13.8">
      <c r="B32" s="89" t="s">
        <v>122</v>
      </c>
      <c r="C32" s="93" t="s">
        <v>269</v>
      </c>
      <c r="D32" s="90">
        <f>IF(Table1[[#This Row],[Current (2025) Value known?]]="No",6,0)</f>
        <v>6</v>
      </c>
      <c r="E32" s="82">
        <f>25</f>
        <v>25</v>
      </c>
      <c r="F32" s="94" t="s">
        <v>269</v>
      </c>
      <c r="G32" s="84">
        <f>IF(Table1[[#This Row],[2026 Value known?]]="No",6,0)</f>
        <v>6</v>
      </c>
      <c r="H32" s="82">
        <v>25</v>
      </c>
      <c r="I32" s="83" t="s">
        <v>269</v>
      </c>
      <c r="J32" s="132">
        <v>6</v>
      </c>
      <c r="K32" s="131">
        <v>25</v>
      </c>
      <c r="L32" s="40"/>
      <c r="M32" s="40"/>
      <c r="N32" s="40"/>
      <c r="O32" s="40"/>
      <c r="P32" s="40"/>
      <c r="Q32" s="40"/>
      <c r="R32" s="175" t="s">
        <v>59</v>
      </c>
      <c r="S32" s="168">
        <v>0.05</v>
      </c>
      <c r="T32" s="147">
        <v>0.05</v>
      </c>
      <c r="U32" s="147">
        <v>0.33</v>
      </c>
      <c r="V32" s="147">
        <v>0.33</v>
      </c>
      <c r="W32" s="147">
        <v>0.53</v>
      </c>
      <c r="X32" s="149">
        <v>0.53</v>
      </c>
      <c r="Y32" s="168">
        <v>0.05</v>
      </c>
      <c r="Z32" s="147">
        <v>0.05</v>
      </c>
      <c r="AA32" s="147">
        <v>0.33</v>
      </c>
      <c r="AB32" s="147">
        <v>0.33</v>
      </c>
      <c r="AC32" s="147">
        <v>0.53</v>
      </c>
      <c r="AD32" s="149">
        <v>0.53</v>
      </c>
      <c r="AE32" s="170">
        <v>0.16</v>
      </c>
      <c r="AF32" s="147">
        <v>0.15</v>
      </c>
      <c r="AG32" s="147">
        <v>0.66</v>
      </c>
      <c r="AH32" s="147">
        <v>0.66</v>
      </c>
      <c r="AI32" s="147">
        <v>0.96</v>
      </c>
      <c r="AJ32" s="149">
        <v>0.92</v>
      </c>
      <c r="AK32" s="40"/>
      <c r="AL32" s="175" t="s">
        <v>59</v>
      </c>
      <c r="AM32" s="183">
        <v>22.63</v>
      </c>
      <c r="AN32" s="161">
        <v>22.69</v>
      </c>
      <c r="AO32" s="161">
        <v>15.78</v>
      </c>
      <c r="AP32" s="161">
        <v>15.82</v>
      </c>
      <c r="AQ32" s="161">
        <v>15.97</v>
      </c>
      <c r="AR32" s="164">
        <v>16</v>
      </c>
      <c r="AS32" s="183">
        <v>22.63</v>
      </c>
      <c r="AT32" s="161">
        <v>22.69</v>
      </c>
      <c r="AU32" s="161">
        <v>15.78</v>
      </c>
      <c r="AV32" s="161">
        <v>15.82</v>
      </c>
      <c r="AW32" s="161">
        <v>15.97</v>
      </c>
      <c r="AX32" s="164">
        <v>16</v>
      </c>
      <c r="AY32" s="181">
        <v>26.79</v>
      </c>
      <c r="AZ32" s="161">
        <v>26.19</v>
      </c>
      <c r="BA32" s="161">
        <v>19.08</v>
      </c>
      <c r="BB32" s="161">
        <v>19.13</v>
      </c>
      <c r="BC32" s="161">
        <v>17.34</v>
      </c>
      <c r="BD32" s="164">
        <v>17.15</v>
      </c>
    </row>
    <row r="33" spans="2:56" ht="13.8">
      <c r="B33" s="89" t="s">
        <v>123</v>
      </c>
      <c r="C33" s="93" t="s">
        <v>269</v>
      </c>
      <c r="D33" s="90">
        <f>IF(Table1[[#This Row],[Current (2025) Value known?]]="No",6,0)</f>
        <v>6</v>
      </c>
      <c r="E33" s="82">
        <f>25</f>
        <v>25</v>
      </c>
      <c r="F33" s="94" t="s">
        <v>269</v>
      </c>
      <c r="G33" s="84">
        <f>IF(Table1[[#This Row],[2026 Value known?]]="No",6,0)</f>
        <v>6</v>
      </c>
      <c r="H33" s="82">
        <v>25</v>
      </c>
      <c r="I33" s="83" t="s">
        <v>269</v>
      </c>
      <c r="J33" s="132">
        <v>6</v>
      </c>
      <c r="K33" s="131">
        <v>25</v>
      </c>
      <c r="L33" s="40"/>
      <c r="M33" s="40"/>
      <c r="N33" s="40"/>
      <c r="O33" s="40"/>
      <c r="P33" s="40"/>
      <c r="Q33" s="40"/>
      <c r="R33" s="175" t="s">
        <v>57</v>
      </c>
      <c r="S33" s="168">
        <v>0.06</v>
      </c>
      <c r="T33" s="147">
        <v>0.06</v>
      </c>
      <c r="U33" s="147">
        <v>0.36</v>
      </c>
      <c r="V33" s="147">
        <v>0.36</v>
      </c>
      <c r="W33" s="147">
        <v>0.56</v>
      </c>
      <c r="X33" s="149">
        <v>0.56</v>
      </c>
      <c r="Y33" s="168">
        <v>0.06</v>
      </c>
      <c r="Z33" s="147">
        <v>0.06</v>
      </c>
      <c r="AA33" s="147">
        <v>0.36</v>
      </c>
      <c r="AB33" s="147">
        <v>0.36</v>
      </c>
      <c r="AC33" s="147">
        <v>0.56</v>
      </c>
      <c r="AD33" s="149">
        <v>0.56</v>
      </c>
      <c r="AE33" s="170">
        <v>0.18</v>
      </c>
      <c r="AF33" s="147">
        <v>0.18</v>
      </c>
      <c r="AG33" s="147">
        <v>0.77</v>
      </c>
      <c r="AH33" s="147">
        <v>0.74</v>
      </c>
      <c r="AI33" s="147">
        <v>1.04</v>
      </c>
      <c r="AJ33" s="149">
        <v>0.99</v>
      </c>
      <c r="AK33" s="40"/>
      <c r="AL33" s="175" t="s">
        <v>57</v>
      </c>
      <c r="AM33" s="183">
        <v>25.75</v>
      </c>
      <c r="AN33" s="161">
        <v>25.83</v>
      </c>
      <c r="AO33" s="161">
        <v>18.7</v>
      </c>
      <c r="AP33" s="161">
        <v>18.75</v>
      </c>
      <c r="AQ33" s="161">
        <v>20.45</v>
      </c>
      <c r="AR33" s="164">
        <v>20.51</v>
      </c>
      <c r="AS33" s="183">
        <v>25.75</v>
      </c>
      <c r="AT33" s="161">
        <v>25.83</v>
      </c>
      <c r="AU33" s="161">
        <v>18.7</v>
      </c>
      <c r="AV33" s="161">
        <v>18.75</v>
      </c>
      <c r="AW33" s="161">
        <v>20.45</v>
      </c>
      <c r="AX33" s="164">
        <v>20.51</v>
      </c>
      <c r="AY33" s="181">
        <v>30.7</v>
      </c>
      <c r="AZ33" s="161">
        <v>31.51</v>
      </c>
      <c r="BA33" s="161">
        <v>23.29</v>
      </c>
      <c r="BB33" s="161">
        <v>24.03</v>
      </c>
      <c r="BC33" s="161">
        <v>21.57</v>
      </c>
      <c r="BD33" s="164">
        <v>22.42</v>
      </c>
    </row>
    <row r="34" spans="2:56" ht="13.8">
      <c r="B34" s="89" t="s">
        <v>124</v>
      </c>
      <c r="C34" s="93" t="s">
        <v>269</v>
      </c>
      <c r="D34" s="90">
        <f>IF(Table1[[#This Row],[Current (2025) Value known?]]="No",6,0)</f>
        <v>6</v>
      </c>
      <c r="E34" s="82">
        <f>25</f>
        <v>25</v>
      </c>
      <c r="F34" s="94" t="s">
        <v>269</v>
      </c>
      <c r="G34" s="84">
        <f>IF(Table1[[#This Row],[2026 Value known?]]="No",6,0)</f>
        <v>6</v>
      </c>
      <c r="H34" s="82">
        <v>25</v>
      </c>
      <c r="I34" s="83" t="s">
        <v>269</v>
      </c>
      <c r="J34" s="132">
        <v>6</v>
      </c>
      <c r="K34" s="131">
        <v>25</v>
      </c>
      <c r="L34" s="40"/>
      <c r="M34" s="40"/>
      <c r="N34" s="40"/>
      <c r="O34" s="40"/>
      <c r="P34" s="40"/>
      <c r="Q34" s="40"/>
      <c r="R34" s="175" t="s">
        <v>71</v>
      </c>
      <c r="S34" s="168">
        <v>0.05</v>
      </c>
      <c r="T34" s="147">
        <v>0.05</v>
      </c>
      <c r="U34" s="147">
        <v>0.32</v>
      </c>
      <c r="V34" s="147">
        <v>0.32</v>
      </c>
      <c r="W34" s="147">
        <v>0.5</v>
      </c>
      <c r="X34" s="149">
        <v>0.5</v>
      </c>
      <c r="Y34" s="168">
        <v>0.05</v>
      </c>
      <c r="Z34" s="147">
        <v>0.05</v>
      </c>
      <c r="AA34" s="147">
        <v>0.32</v>
      </c>
      <c r="AB34" s="147">
        <v>0.32</v>
      </c>
      <c r="AC34" s="147">
        <v>0.5</v>
      </c>
      <c r="AD34" s="149">
        <v>0.5</v>
      </c>
      <c r="AE34" s="170">
        <v>0.15</v>
      </c>
      <c r="AF34" s="147">
        <v>0.15</v>
      </c>
      <c r="AG34" s="147">
        <v>0.65</v>
      </c>
      <c r="AH34" s="147">
        <v>0.62</v>
      </c>
      <c r="AI34" s="147">
        <v>0.91</v>
      </c>
      <c r="AJ34" s="149">
        <v>0.86</v>
      </c>
      <c r="AK34" s="40"/>
      <c r="AL34" s="175" t="s">
        <v>71</v>
      </c>
      <c r="AM34" s="183">
        <v>27.73</v>
      </c>
      <c r="AN34" s="161">
        <v>2.8</v>
      </c>
      <c r="AO34" s="161">
        <v>19.36</v>
      </c>
      <c r="AP34" s="161">
        <v>19.4</v>
      </c>
      <c r="AQ34" s="161">
        <v>19.12</v>
      </c>
      <c r="AR34" s="164">
        <v>19.17</v>
      </c>
      <c r="AS34" s="183">
        <v>27.73</v>
      </c>
      <c r="AT34" s="161">
        <v>2.8</v>
      </c>
      <c r="AU34" s="161">
        <v>19.36</v>
      </c>
      <c r="AV34" s="161">
        <v>19.4</v>
      </c>
      <c r="AW34" s="161">
        <v>19.12</v>
      </c>
      <c r="AX34" s="164">
        <v>19.17</v>
      </c>
      <c r="AY34" s="181">
        <v>32.9</v>
      </c>
      <c r="AZ34" s="161">
        <v>31.25</v>
      </c>
      <c r="BA34" s="161">
        <v>23.83</v>
      </c>
      <c r="BB34" s="161">
        <v>22.76</v>
      </c>
      <c r="BC34" s="161">
        <v>21.38</v>
      </c>
      <c r="BD34" s="164">
        <v>20.53</v>
      </c>
    </row>
    <row r="35" spans="2:56" ht="14.4" thickBot="1">
      <c r="B35" s="89" t="s">
        <v>125</v>
      </c>
      <c r="C35" s="93" t="s">
        <v>269</v>
      </c>
      <c r="D35" s="90">
        <f>IF(Table1[[#This Row],[Current (2025) Value known?]]="No",6,0)</f>
        <v>6</v>
      </c>
      <c r="E35" s="82">
        <f>25</f>
        <v>25</v>
      </c>
      <c r="F35" s="94" t="s">
        <v>269</v>
      </c>
      <c r="G35" s="84">
        <f>IF(Table1[[#This Row],[2026 Value known?]]="No",6,0)</f>
        <v>6</v>
      </c>
      <c r="H35" s="82">
        <v>25</v>
      </c>
      <c r="I35" s="83" t="s">
        <v>269</v>
      </c>
      <c r="J35" s="132">
        <v>6</v>
      </c>
      <c r="K35" s="131">
        <v>25</v>
      </c>
      <c r="L35" s="40"/>
      <c r="M35" s="40"/>
      <c r="N35" s="40"/>
      <c r="O35" s="40"/>
      <c r="P35" s="40"/>
      <c r="Q35" s="40"/>
      <c r="R35" s="176" t="s">
        <v>505</v>
      </c>
      <c r="S35" s="150">
        <v>0.05</v>
      </c>
      <c r="T35" s="151">
        <v>0.05</v>
      </c>
      <c r="U35" s="151">
        <v>0.05</v>
      </c>
      <c r="V35" s="151">
        <v>0.05</v>
      </c>
      <c r="W35" s="151">
        <v>0.05</v>
      </c>
      <c r="X35" s="152">
        <v>0.05</v>
      </c>
      <c r="Y35" s="150">
        <v>0.05</v>
      </c>
      <c r="Z35" s="151">
        <v>0.05</v>
      </c>
      <c r="AA35" s="151">
        <v>0.05</v>
      </c>
      <c r="AB35" s="151">
        <v>0.05</v>
      </c>
      <c r="AC35" s="151">
        <v>0.05</v>
      </c>
      <c r="AD35" s="152">
        <v>0.05</v>
      </c>
      <c r="AE35" s="171">
        <v>0.62</v>
      </c>
      <c r="AF35" s="151">
        <v>0.62</v>
      </c>
      <c r="AG35" s="151">
        <v>0.62</v>
      </c>
      <c r="AH35" s="151">
        <v>0.62</v>
      </c>
      <c r="AI35" s="151">
        <v>0.62</v>
      </c>
      <c r="AJ35" s="152">
        <v>0.62</v>
      </c>
      <c r="AK35" s="40"/>
      <c r="AL35" s="176" t="s">
        <v>505</v>
      </c>
      <c r="AM35" s="150">
        <v>27.8</v>
      </c>
      <c r="AN35" s="151">
        <v>27.8</v>
      </c>
      <c r="AO35" s="151">
        <v>27.8</v>
      </c>
      <c r="AP35" s="151">
        <v>27.8</v>
      </c>
      <c r="AQ35" s="151">
        <v>27.8</v>
      </c>
      <c r="AR35" s="152">
        <v>27.8</v>
      </c>
      <c r="AS35" s="150">
        <v>27.8</v>
      </c>
      <c r="AT35" s="151">
        <v>27.8</v>
      </c>
      <c r="AU35" s="151">
        <v>27.8</v>
      </c>
      <c r="AV35" s="151">
        <v>27.8</v>
      </c>
      <c r="AW35" s="151">
        <v>27.8</v>
      </c>
      <c r="AX35" s="152">
        <v>27.8</v>
      </c>
      <c r="AY35" s="184">
        <v>26.19</v>
      </c>
      <c r="AZ35" s="165">
        <v>26.19</v>
      </c>
      <c r="BA35" s="165">
        <v>26.19</v>
      </c>
      <c r="BB35" s="165">
        <v>26.19</v>
      </c>
      <c r="BC35" s="165">
        <v>26.19</v>
      </c>
      <c r="BD35" s="166">
        <v>26.19</v>
      </c>
    </row>
    <row r="36" spans="2:44" ht="14.4" thickBot="1">
      <c r="B36" s="89" t="s">
        <v>126</v>
      </c>
      <c r="C36" s="93" t="s">
        <v>269</v>
      </c>
      <c r="D36" s="90">
        <f>IF(Table1[[#This Row],[Current (2025) Value known?]]="No",6,0)</f>
        <v>6</v>
      </c>
      <c r="E36" s="82">
        <f>25</f>
        <v>25</v>
      </c>
      <c r="F36" s="94" t="s">
        <v>269</v>
      </c>
      <c r="G36" s="84">
        <f>IF(Table1[[#This Row],[2026 Value known?]]="No",6,0)</f>
        <v>6</v>
      </c>
      <c r="H36" s="82">
        <v>25</v>
      </c>
      <c r="I36" s="83" t="s">
        <v>269</v>
      </c>
      <c r="J36" s="132">
        <v>6</v>
      </c>
      <c r="K36" s="131">
        <v>25</v>
      </c>
      <c r="L36" s="40"/>
      <c r="M36" s="40"/>
      <c r="N36" s="40"/>
      <c r="O36" s="40"/>
      <c r="P36" s="40"/>
      <c r="AH36" s="40"/>
      <c r="AI36" s="40"/>
      <c r="AJ36" s="40"/>
      <c r="AK36" s="40"/>
      <c r="AL36" s="40"/>
      <c r="AM36" s="40"/>
      <c r="AN36" s="40"/>
      <c r="AO36" s="40"/>
      <c r="AP36" s="40"/>
      <c r="AQ36" s="40"/>
      <c r="AR36" s="40"/>
    </row>
    <row r="37" spans="2:44" ht="27.6" customHeight="1">
      <c r="B37" s="89" t="s">
        <v>127</v>
      </c>
      <c r="C37" s="93" t="s">
        <v>269</v>
      </c>
      <c r="D37" s="90">
        <f>IF(Table1[[#This Row],[Current (2025) Value known?]]="No",6,0)</f>
        <v>6</v>
      </c>
      <c r="E37" s="82">
        <f>25</f>
        <v>25</v>
      </c>
      <c r="F37" s="94" t="s">
        <v>269</v>
      </c>
      <c r="G37" s="84">
        <f>IF(Table1[[#This Row],[2026 Value known?]]="No",6,0)</f>
        <v>6</v>
      </c>
      <c r="H37" s="82">
        <v>25</v>
      </c>
      <c r="I37" s="83" t="s">
        <v>269</v>
      </c>
      <c r="J37" s="132">
        <v>6</v>
      </c>
      <c r="K37" s="131">
        <v>25</v>
      </c>
      <c r="L37" s="40"/>
      <c r="M37" s="40"/>
      <c r="N37" s="40"/>
      <c r="O37" s="40"/>
      <c r="P37" s="40"/>
      <c r="R37" s="40"/>
      <c r="Y37" s="40"/>
      <c r="Z37" s="115" t="s">
        <v>516</v>
      </c>
      <c r="AA37" s="119" t="s">
        <v>517</v>
      </c>
      <c r="AB37" s="119" t="s">
        <v>518</v>
      </c>
      <c r="AC37" s="470" t="s">
        <v>43</v>
      </c>
      <c r="AD37" s="471"/>
      <c r="AE37" s="470" t="s">
        <v>45</v>
      </c>
      <c r="AF37" s="471"/>
      <c r="AG37" s="470" t="s">
        <v>47</v>
      </c>
      <c r="AH37" s="471"/>
      <c r="AI37" s="470" t="s">
        <v>341</v>
      </c>
      <c r="AJ37" s="471"/>
      <c r="AK37" s="470" t="s">
        <v>51</v>
      </c>
      <c r="AL37" s="472"/>
      <c r="AM37" s="40"/>
      <c r="AN37" s="40"/>
      <c r="AO37" s="40"/>
      <c r="AP37" s="40"/>
      <c r="AQ37" s="40"/>
      <c r="AR37" s="40"/>
    </row>
    <row r="38" spans="2:44" ht="13.8">
      <c r="B38" s="89" t="s">
        <v>128</v>
      </c>
      <c r="C38" s="93" t="s">
        <v>269</v>
      </c>
      <c r="D38" s="90">
        <f>IF(Table1[[#This Row],[Current (2025) Value known?]]="No",6,0)</f>
        <v>6</v>
      </c>
      <c r="E38" s="82">
        <f>25</f>
        <v>25</v>
      </c>
      <c r="F38" s="94" t="s">
        <v>269</v>
      </c>
      <c r="G38" s="84">
        <f>IF(Table1[[#This Row],[2026 Value known?]]="No",6,0)</f>
        <v>6</v>
      </c>
      <c r="H38" s="82">
        <v>25</v>
      </c>
      <c r="I38" s="83" t="s">
        <v>269</v>
      </c>
      <c r="J38" s="137">
        <f>0.25*0.9</f>
        <v>0.225</v>
      </c>
      <c r="K38" s="131">
        <v>25</v>
      </c>
      <c r="L38" s="40"/>
      <c r="M38" s="40"/>
      <c r="N38" s="40"/>
      <c r="O38" s="40"/>
      <c r="P38" s="40"/>
      <c r="R38" s="40"/>
      <c r="Y38" s="40"/>
      <c r="Z38" s="116"/>
      <c r="AA38" s="97"/>
      <c r="AB38" s="97"/>
      <c r="AC38" s="97" t="s">
        <v>410</v>
      </c>
      <c r="AD38" s="97" t="s">
        <v>411</v>
      </c>
      <c r="AE38" s="97" t="s">
        <v>410</v>
      </c>
      <c r="AF38" s="97" t="s">
        <v>411</v>
      </c>
      <c r="AG38" s="97" t="s">
        <v>410</v>
      </c>
      <c r="AH38" s="97" t="s">
        <v>411</v>
      </c>
      <c r="AI38" s="97" t="s">
        <v>410</v>
      </c>
      <c r="AJ38" s="97" t="s">
        <v>411</v>
      </c>
      <c r="AK38" s="97" t="s">
        <v>410</v>
      </c>
      <c r="AL38" s="114" t="s">
        <v>411</v>
      </c>
      <c r="AM38" s="40"/>
      <c r="AN38" s="40"/>
      <c r="AO38" s="40"/>
      <c r="AP38" s="40"/>
      <c r="AQ38" s="40"/>
      <c r="AR38" s="40"/>
    </row>
    <row r="39" spans="2:44" ht="13.8">
      <c r="B39" s="89" t="s">
        <v>129</v>
      </c>
      <c r="C39" s="93" t="s">
        <v>269</v>
      </c>
      <c r="D39" s="90">
        <f>IF(Table1[[#This Row],[Current (2025) Value known?]]="No",6,0)</f>
        <v>6</v>
      </c>
      <c r="E39" s="82">
        <f>25</f>
        <v>25</v>
      </c>
      <c r="F39" s="94" t="s">
        <v>269</v>
      </c>
      <c r="G39" s="84">
        <f>IF(Table1[[#This Row],[2026 Value known?]]="No",6,0)</f>
        <v>6</v>
      </c>
      <c r="H39" s="82">
        <v>25</v>
      </c>
      <c r="I39" s="83" t="s">
        <v>269</v>
      </c>
      <c r="J39" s="132">
        <v>6</v>
      </c>
      <c r="K39" s="131">
        <v>25</v>
      </c>
      <c r="L39" s="40"/>
      <c r="M39" s="40"/>
      <c r="N39" s="40"/>
      <c r="O39" s="40"/>
      <c r="P39" s="40"/>
      <c r="R39" s="40"/>
      <c r="Y39" s="40"/>
      <c r="Z39" s="117" t="s">
        <v>313</v>
      </c>
      <c r="AA39" s="120">
        <v>562.55</v>
      </c>
      <c r="AB39" s="122">
        <f>(-129.5+(0.424*AA39)-((2.28*0.0001)*(AA39*AA39))-((4.56*1E-08)*(AA39*AA39*AA39)))</f>
        <v>28.749764706369277</v>
      </c>
      <c r="AC39" s="122">
        <f>((((0.829*$AB$51)+(0.078*AB39)-20.7)/100)*AA39)*($AC$51*0.01)</f>
        <v>0.74063687402354628</v>
      </c>
      <c r="AD39" s="122">
        <f>((((0.829*$AB$56)+(0.078*AB39)-20.7)/100)*AA39)*($AC$56*0.01)</f>
        <v>7.8065470051636776</v>
      </c>
      <c r="AE39" s="122">
        <f>((((0.829*$AB$52)+(0.078*AB39)-20.7)/100)*AA39)*($AC$52*0.01)</f>
        <v>0.30086509917354659</v>
      </c>
      <c r="AF39" s="122">
        <f>((((0.829*$AB$57)+(0.078*AB39)-20.7)/100)*AA39)*($AC$57*0.01)</f>
        <v>4.7495968629136778</v>
      </c>
      <c r="AG39" s="122">
        <f>((((0.829*$AB$53)+(0.078*AB39)-20.7)/100)*AA39)*($AC$53*0.01)</f>
        <v>0.14790100357354649</v>
      </c>
      <c r="AH39" s="122">
        <f>((((0.829*$AB$58)+(0.078*AB39)-20.7)/100)*AA39)*($AC$58*0.01)</f>
        <v>3.6863098569136761</v>
      </c>
      <c r="AI39" s="122">
        <f>((((0.829*$AB$54)+(0.078*AB39)-20.7)/100)*AA39)*($AC$54*0.01)</f>
        <v>0.86371364551722929</v>
      </c>
      <c r="AJ39" s="122">
        <f>((((0.829*$AB$59)+(0.078*AB39)-20.7)/100)*AA39)*($AC$59*0.01)</f>
        <v>5.510321943687293</v>
      </c>
      <c r="AK39" s="122">
        <f>((((0.829*$AB$55)+(0.078*AB39)-20.7)/100)*AA39)*($AC$55*0.01)</f>
        <v>-0.0027167810873652593</v>
      </c>
      <c r="AL39" s="112">
        <f>((((0.829*$AB$60)+(0.078*AB39)-20.7)/100)*AA39)*($AC$60*0.01)</f>
        <v>1.546202943696483</v>
      </c>
      <c r="AM39" s="40"/>
      <c r="AN39" s="40"/>
      <c r="AO39" s="40"/>
      <c r="AP39" s="40"/>
      <c r="AQ39" s="40"/>
      <c r="AR39" s="40"/>
    </row>
    <row r="40" spans="2:44" ht="13.8">
      <c r="B40" s="89" t="s">
        <v>130</v>
      </c>
      <c r="C40" s="93" t="s">
        <v>269</v>
      </c>
      <c r="D40" s="90">
        <f>IF(Table1[[#This Row],[Current (2025) Value known?]]="No",6,0)</f>
        <v>6</v>
      </c>
      <c r="E40" s="82">
        <f>25</f>
        <v>25</v>
      </c>
      <c r="F40" s="94" t="s">
        <v>269</v>
      </c>
      <c r="G40" s="84">
        <f>IF(Table1[[#This Row],[2026 Value known?]]="No",6,0)</f>
        <v>6</v>
      </c>
      <c r="H40" s="82">
        <v>25</v>
      </c>
      <c r="I40" s="83" t="s">
        <v>267</v>
      </c>
      <c r="J40" s="137">
        <f>0.25*0.9</f>
        <v>0.225</v>
      </c>
      <c r="K40" s="358">
        <f>10*0.9</f>
        <v>9</v>
      </c>
      <c r="L40" s="40"/>
      <c r="M40" s="40"/>
      <c r="N40" s="40"/>
      <c r="O40" s="40"/>
      <c r="P40" s="40"/>
      <c r="Y40" s="40"/>
      <c r="Z40" s="117" t="s">
        <v>519</v>
      </c>
      <c r="AA40" s="120">
        <v>587.55</v>
      </c>
      <c r="AB40" s="122">
        <f>(-129.5+(0.424*AA40)-((2.28*0.0001)*(AA40*AA40))-((4.56*1E-08)*(AA40*AA40*AA40)))</f>
        <v>31.663082422819311</v>
      </c>
      <c r="AC40" s="122">
        <f>((((0.829*$AB$51)+(0.078*AB40)-20.7)/100)*AA40)*($AC$51*0.01)</f>
        <v>0.77902522270993246</v>
      </c>
      <c r="AD40" s="122">
        <f>((((0.829*$AB$56)+(0.078*AB40)-20.7)/100)*AA40)*($AC$56*0.01)</f>
        <v>8.191525343593435</v>
      </c>
      <c r="AE40" s="122">
        <f>((((0.829*$AB$52)+(0.078*AB40)-20.7)/100)*AA40)*($AC$52*0.01)</f>
        <v>0.31970977285993291</v>
      </c>
      <c r="AF40" s="122">
        <f>((((0.829*$AB$57)+(0.078*AB40)-20.7)/100)*AA40)*($AC$57*0.01)</f>
        <v>4.9987228263434362</v>
      </c>
      <c r="AG40" s="122">
        <f>((((0.829*$AB$53)+(0.078*AB40)-20.7)/100)*AA40)*($AC$53*0.01)</f>
        <v>0.15994787725993279</v>
      </c>
      <c r="AH40" s="122">
        <f>((((0.829*$AB$58)+(0.078*AB40)-20.7)/100)*AA40)*($AC$58*0.01)</f>
        <v>3.888182820343435</v>
      </c>
      <c r="AI40" s="122">
        <f>((((0.829*$AB$54)+(0.078*AB40)-20.7)/100)*AA40)*($AC$54*0.01)</f>
        <v>0.90610293114141427</v>
      </c>
      <c r="AJ40" s="122">
        <f>((((0.829*$AB$59)+(0.078*AB40)-20.7)/100)*AA40)*($AC$59*0.01)</f>
        <v>5.775497524183165</v>
      </c>
      <c r="AK40" s="122">
        <f>((((0.829*$AB$55)+(0.078*AB40)-20.7)/100)*AA40)*($AC$55*0.01)</f>
        <v>9.97950370371485E-05</v>
      </c>
      <c r="AL40" s="112">
        <f>((((0.829*$AB$60)+(0.078*AB40)-20.7)/100)*AA40)*($AC$60*0.01)</f>
        <v>1.6373473431919194</v>
      </c>
      <c r="AM40" s="40"/>
      <c r="AN40" s="40"/>
      <c r="AO40" s="40"/>
      <c r="AP40" s="40"/>
      <c r="AQ40" s="40"/>
      <c r="AR40" s="40"/>
    </row>
    <row r="41" spans="2:44" ht="13.8">
      <c r="B41" s="89" t="s">
        <v>131</v>
      </c>
      <c r="C41" s="93" t="s">
        <v>269</v>
      </c>
      <c r="D41" s="90">
        <f>IF(Table1[[#This Row],[Current (2025) Value known?]]="No",6,0)</f>
        <v>6</v>
      </c>
      <c r="E41" s="82">
        <f>25</f>
        <v>25</v>
      </c>
      <c r="F41" s="94" t="s">
        <v>269</v>
      </c>
      <c r="G41" s="84">
        <f>IF(Table1[[#This Row],[2026 Value known?]]="No",6,0)</f>
        <v>6</v>
      </c>
      <c r="H41" s="82">
        <v>25</v>
      </c>
      <c r="I41" s="83" t="s">
        <v>269</v>
      </c>
      <c r="J41" s="132">
        <v>6</v>
      </c>
      <c r="K41" s="131">
        <v>25</v>
      </c>
      <c r="L41" s="40"/>
      <c r="M41" s="40"/>
      <c r="N41" s="40"/>
      <c r="O41" s="40"/>
      <c r="P41" s="40"/>
      <c r="Y41" s="40"/>
      <c r="Z41" s="117" t="s">
        <v>520</v>
      </c>
      <c r="AA41" s="120">
        <v>612.55</v>
      </c>
      <c r="AB41" s="122">
        <f>(-129.5+(0.424*AA41)-((2.28*0.0001)*(AA41*AA41))-((4.56*1E-08)*(AA41*AA41*AA41)))</f>
        <v>34.190929089269275</v>
      </c>
      <c r="AC41" s="122">
        <f>((((0.829*$AB$51)+(0.078*AB41)-20.7)/100)*AA41)*($AC$51*0.01)</f>
        <v>0.81712429820639465</v>
      </c>
      <c r="AD41" s="122">
        <f>((((0.829*$AB$56)+(0.078*AB41)-20.7)/100)*AA41)*($AC$56*0.01)</f>
        <v>8.574492880581035</v>
      </c>
      <c r="AE41" s="122">
        <f>((((0.829*$AB$52)+(0.078*AB41)-20.7)/100)*AA41)*($AC$52*0.01)</f>
        <v>0.33826517335639467</v>
      </c>
      <c r="AF41" s="122">
        <f>((((0.829*$AB$57)+(0.078*AB41)-20.7)/100)*AA41)*($AC$57*0.01)</f>
        <v>5.2458379883310373</v>
      </c>
      <c r="AG41" s="122">
        <f>((((0.829*$AB$53)+(0.078*AB41)-20.7)/100)*AA41)*($AC$53*0.01)</f>
        <v>0.17170547775639469</v>
      </c>
      <c r="AH41" s="122">
        <f>((((0.829*$AB$58)+(0.078*AB41)-20.7)/100)*AA41)*($AC$58*0.01)</f>
        <v>4.088044982331037</v>
      </c>
      <c r="AI41" s="122">
        <f>((((0.829*$AB$54)+(0.078*AB41)-20.7)/100)*AA41)*($AC$54*0.01)</f>
        <v>0.94828055345589835</v>
      </c>
      <c r="AJ41" s="122">
        <f>((((0.829*$AB$59)+(0.078*AB41)-20.7)/100)*AA41)*($AC$59*0.01)</f>
        <v>6.039600677243218</v>
      </c>
      <c r="AK41" s="122">
        <f>((((0.829*$AB$55)+(0.078*AB41)-20.7)/100)*AA41)*($AC$55*0.01)</f>
        <v>0.0027611514009923208</v>
      </c>
      <c r="AL41" s="112">
        <f>((((0.829*$AB$60)+(0.078*AB41)-20.7)/100)*AA41)*($AC$60*0.01)</f>
        <v>1.7273064281530324</v>
      </c>
      <c r="AM41" s="40"/>
      <c r="AN41" s="40"/>
      <c r="AO41" s="40"/>
      <c r="AP41" s="40"/>
      <c r="AQ41" s="40"/>
      <c r="AR41" s="40"/>
    </row>
    <row r="42" spans="2:44" ht="13.8">
      <c r="B42" s="89" t="s">
        <v>132</v>
      </c>
      <c r="C42" s="93" t="s">
        <v>269</v>
      </c>
      <c r="D42" s="90">
        <f>IF(Table1[[#This Row],[Current (2025) Value known?]]="No",6,0)</f>
        <v>6</v>
      </c>
      <c r="E42" s="82">
        <f>25</f>
        <v>25</v>
      </c>
      <c r="F42" s="94" t="s">
        <v>269</v>
      </c>
      <c r="G42" s="84">
        <f>IF(Table1[[#This Row],[2026 Value known?]]="No",6,0)</f>
        <v>6</v>
      </c>
      <c r="H42" s="82">
        <v>25</v>
      </c>
      <c r="I42" s="83" t="s">
        <v>269</v>
      </c>
      <c r="J42" s="84">
        <v>6</v>
      </c>
      <c r="K42" s="131">
        <v>25</v>
      </c>
      <c r="L42" s="40"/>
      <c r="M42" s="40"/>
      <c r="N42" s="40"/>
      <c r="O42" s="40"/>
      <c r="P42" s="40"/>
      <c r="Y42" s="40"/>
      <c r="Z42" s="117" t="s">
        <v>521</v>
      </c>
      <c r="AA42" s="120">
        <v>637.55</v>
      </c>
      <c r="AB42" s="122">
        <f>(-129.5+(0.424*AA42)-((2.28*0.0001)*(AA42*AA42))-((4.56*1E-08)*(AA42*AA42*AA42)))</f>
        <v>36.329029705719307</v>
      </c>
      <c r="AC42" s="122">
        <f>((((0.829*$AB$51)+(0.078*AB42)-20.7)/100)*AA42)*($AC$51*0.01)</f>
        <v>0.85483292904864216</v>
      </c>
      <c r="AD42" s="122">
        <f>((((0.829*$AB$56)+(0.078*AB42)-20.7)/100)*AA42)*($AC$56*0.01)</f>
        <v>8.95474635106983</v>
      </c>
      <c r="AE42" s="122">
        <f>((((0.829*$AB$52)+(0.078*AB42)-20.7)/100)*AA42)*($AC$52*0.01)</f>
        <v>0.35643012919864242</v>
      </c>
      <c r="AF42" s="122">
        <f>((((0.829*$AB$57)+(0.078*AB42)-20.7)/100)*AA42)*($AC$57*0.01)</f>
        <v>5.4902390838198327</v>
      </c>
      <c r="AG42" s="122">
        <f>((((0.829*$AB$53)+(0.078*AB42)-20.7)/100)*AA42)*($AC$53*0.01)</f>
        <v>0.18307263359864251</v>
      </c>
      <c r="AH42" s="122">
        <f>((((0.829*$AB$58)+(0.078*AB42)-20.7)/100)*AA42)*($AC$58*0.01)</f>
        <v>4.2851930778198319</v>
      </c>
      <c r="AI42" s="122">
        <f>((((0.829*$AB$54)+(0.078*AB42)-20.7)/100)*AA42)*($AC$54*0.01)</f>
        <v>0.99017248455998208</v>
      </c>
      <c r="AJ42" s="122">
        <f>((((0.829*$AB$59)+(0.078*AB42)-20.7)/100)*AA42)*($AC$59*0.01)</f>
        <v>6.302256328170575</v>
      </c>
      <c r="AK42" s="122">
        <f>((((0.829*$AB$55)+(0.078*AB42)-20.7)/100)*AA42)*($AC$55*0.01)</f>
        <v>0.0052130008773204088</v>
      </c>
      <c r="AL42" s="112">
        <f>((((0.829*$AB$60)+(0.078*AB42)-20.7)/100)*AA42)*($AC$60*0.01)</f>
        <v>1.815665642335901</v>
      </c>
      <c r="AM42" s="40"/>
      <c r="AN42" s="40"/>
      <c r="AO42" s="40"/>
      <c r="AP42" s="40"/>
      <c r="AQ42" s="40"/>
      <c r="AR42" s="40"/>
    </row>
    <row r="43" spans="2:44" ht="13.8">
      <c r="B43" s="89" t="s">
        <v>133</v>
      </c>
      <c r="C43" s="93" t="s">
        <v>269</v>
      </c>
      <c r="D43" s="90">
        <f>IF(Table1[[#This Row],[Current (2025) Value known?]]="No",6,0)</f>
        <v>6</v>
      </c>
      <c r="E43" s="82">
        <f>25</f>
        <v>25</v>
      </c>
      <c r="F43" s="94" t="s">
        <v>269</v>
      </c>
      <c r="G43" s="84">
        <f>IF(Table1[[#This Row],[2026 Value known?]]="No",6,0)</f>
        <v>6</v>
      </c>
      <c r="H43" s="82">
        <v>25</v>
      </c>
      <c r="I43" s="83" t="s">
        <v>269</v>
      </c>
      <c r="J43" s="137">
        <f>0.25*0.9</f>
        <v>0.225</v>
      </c>
      <c r="K43" s="131">
        <v>25</v>
      </c>
      <c r="L43" s="40"/>
      <c r="M43" s="40"/>
      <c r="N43" s="40"/>
      <c r="O43" s="40"/>
      <c r="P43" s="40"/>
      <c r="Y43" s="40"/>
      <c r="Z43" s="117" t="s">
        <v>522</v>
      </c>
      <c r="AA43" s="120">
        <v>662.55</v>
      </c>
      <c r="AB43" s="122">
        <f>(-129.5+(0.424*AA43)-((2.28*0.0001)*(AA43*AA43))-((4.56*1E-08)*(AA43*AA43*AA43)))</f>
        <v>38.073109272169319</v>
      </c>
      <c r="AC43" s="122">
        <f>((((0.829*$AB$51)+(0.078*AB43)-20.7)/100)*AA43)*($AC$51*0.01)</f>
        <v>0.89204857662738568</v>
      </c>
      <c r="AD43" s="122">
        <f>((((0.829*$AB$56)+(0.078*AB43)-20.7)/100)*AA43)*($AC$56*0.01)</f>
        <v>9.33157298667817</v>
      </c>
      <c r="AE43" s="122">
        <f>((((0.829*$AB$52)+(0.078*AB43)-20.7)/100)*AA43)*($AC$52*0.01)</f>
        <v>0.37410210177738579</v>
      </c>
      <c r="AF43" s="122">
        <f>((((0.829*$AB$57)+(0.078*AB43)-20.7)/100)*AA43)*($AC$57*0.01)</f>
        <v>5.7312133444281717</v>
      </c>
      <c r="AG43" s="122">
        <f>((((0.829*$AB$53)+(0.078*AB43)-20.7)/100)*AA43)*($AC$53*0.01)</f>
        <v>0.19394680617738583</v>
      </c>
      <c r="AH43" s="122">
        <f>((((0.829*$AB$58)+(0.078*AB43)-20.7)/100)*AA43)*($AC$58*0.01)</f>
        <v>4.47891433842817</v>
      </c>
      <c r="AI43" s="122">
        <f>((((0.829*$AB$54)+(0.078*AB43)-20.7)/100)*AA43)*($AC$54*0.01)</f>
        <v>1.0317036962029649</v>
      </c>
      <c r="AJ43" s="122">
        <f>((((0.829*$AB$59)+(0.078*AB43)-20.7)/100)*AA43)*($AC$59*0.01)</f>
        <v>6.5630843338283551</v>
      </c>
      <c r="AK43" s="122">
        <f>((((0.829*$AB$55)+(0.078*AB43)-20.7)/100)*AA43)*($AC$55*0.01)</f>
        <v>0.0074003227488412269</v>
      </c>
      <c r="AL43" s="112">
        <f>((((0.829*$AB$60)+(0.078*AB43)-20.7)/100)*AA43)*($AC$60*0.01)</f>
        <v>1.9020048275366057</v>
      </c>
      <c r="AM43" s="40"/>
      <c r="AN43" s="40"/>
      <c r="AO43" s="40"/>
      <c r="AP43" s="40"/>
      <c r="AQ43" s="40"/>
      <c r="AR43" s="40"/>
    </row>
    <row r="44" spans="2:44" ht="13.8">
      <c r="B44" s="89" t="s">
        <v>134</v>
      </c>
      <c r="C44" s="93" t="s">
        <v>269</v>
      </c>
      <c r="D44" s="90">
        <f>IF(Table1[[#This Row],[Current (2025) Value known?]]="No",6,0)</f>
        <v>6</v>
      </c>
      <c r="E44" s="82">
        <f>25</f>
        <v>25</v>
      </c>
      <c r="F44" s="94" t="s">
        <v>269</v>
      </c>
      <c r="G44" s="84">
        <f>IF(Table1[[#This Row],[2026 Value known?]]="No",6,0)</f>
        <v>6</v>
      </c>
      <c r="H44" s="82">
        <v>25</v>
      </c>
      <c r="I44" s="83" t="s">
        <v>269</v>
      </c>
      <c r="J44" s="132">
        <v>6</v>
      </c>
      <c r="K44" s="131">
        <v>25</v>
      </c>
      <c r="L44" s="40"/>
      <c r="M44" s="40"/>
      <c r="N44" s="40"/>
      <c r="O44" s="40"/>
      <c r="P44" s="40"/>
      <c r="Y44" s="40"/>
      <c r="Z44" s="117" t="s">
        <v>523</v>
      </c>
      <c r="AA44" s="120">
        <v>687.55</v>
      </c>
      <c r="AB44" s="122">
        <f>(-129.5+(0.424*AA44)-((2.28*0.0001)*(AA44*AA44))-((4.56*1E-08)*(AA44*AA44*AA44)))</f>
        <v>39.418892788619281</v>
      </c>
      <c r="AC44" s="122">
        <f>((((0.829*$AB$51)+(0.078*AB44)-20.7)/100)*AA44)*($AC$51*0.01)</f>
        <v>0.92866733518833489</v>
      </c>
      <c r="AD44" s="122">
        <f>((((0.829*$AB$56)+(0.078*AB44)-20.7)/100)*AA44)*($AC$56*0.01)</f>
        <v>9.7042505156994014</v>
      </c>
      <c r="AE44" s="122">
        <f>((((0.829*$AB$52)+(0.078*AB44)-20.7)/100)*AA44)*($AC$52*0.01)</f>
        <v>0.39117718533833484</v>
      </c>
      <c r="AF44" s="122">
        <f>((((0.829*$AB$57)+(0.078*AB44)-20.7)/100)*AA44)*($AC$57*0.01)</f>
        <v>5.9680384984494017</v>
      </c>
      <c r="AG44" s="122">
        <f>((((0.829*$AB$53)+(0.078*AB44)-20.7)/100)*AA44)*($AC$53*0.01)</f>
        <v>0.20422408973833489</v>
      </c>
      <c r="AH44" s="122">
        <f>((((0.829*$AB$58)+(0.078*AB44)-20.7)/100)*AA44)*($AC$58*0.01)</f>
        <v>4.6684864924494009</v>
      </c>
      <c r="AI44" s="122">
        <f>((((0.829*$AB$54)+(0.078*AB44)-20.7)/100)*AA44)*($AC$54*0.01)</f>
        <v>1.0727981597841474</v>
      </c>
      <c r="AJ44" s="122">
        <f>((((0.829*$AB$59)+(0.078*AB44)-20.7)/100)*AA44)*($AC$59*0.01)</f>
        <v>6.8216994826396791</v>
      </c>
      <c r="AK44" s="122">
        <f>((((0.829*$AB$55)+(0.078*AB44)-20.7)/100)*AA44)*($AC$55*0.01)</f>
        <v>0.0092673627083748791</v>
      </c>
      <c r="AL44" s="112">
        <f>((((0.829*$AB$60)+(0.078*AB44)-20.7)/100)*AA44)*($AC$60*0.01)</f>
        <v>1.9858982235912259</v>
      </c>
      <c r="AM44" s="40"/>
      <c r="AN44" s="40"/>
      <c r="AO44" s="40"/>
      <c r="AP44" s="40"/>
      <c r="AQ44" s="40"/>
      <c r="AR44" s="40"/>
    </row>
    <row r="45" spans="2:44" ht="13.8">
      <c r="B45" s="89" t="s">
        <v>135</v>
      </c>
      <c r="C45" s="93" t="s">
        <v>269</v>
      </c>
      <c r="D45" s="90">
        <f>IF(Table1[[#This Row],[Current (2025) Value known?]]="No",6,0)</f>
        <v>6</v>
      </c>
      <c r="E45" s="82">
        <f>25</f>
        <v>25</v>
      </c>
      <c r="F45" s="94" t="s">
        <v>269</v>
      </c>
      <c r="G45" s="84">
        <f>IF(Table1[[#This Row],[2026 Value known?]]="No",6,0)</f>
        <v>6</v>
      </c>
      <c r="H45" s="82">
        <v>25</v>
      </c>
      <c r="I45" s="83" t="s">
        <v>269</v>
      </c>
      <c r="J45" s="132">
        <v>6</v>
      </c>
      <c r="K45" s="131">
        <v>25</v>
      </c>
      <c r="L45" s="40"/>
      <c r="M45" s="40"/>
      <c r="N45" s="40"/>
      <c r="O45" s="40"/>
      <c r="P45" s="40"/>
      <c r="Y45" s="40"/>
      <c r="Z45" s="117" t="s">
        <v>524</v>
      </c>
      <c r="AA45" s="120">
        <v>725.05</v>
      </c>
      <c r="AB45" s="122">
        <f>(-129.5+(0.424*AA45)-((2.28*0.0001)*(AA45*AA45))-((4.56*1E-08)*(AA45*AA45*AA45)))</f>
        <v>40.68141140704433</v>
      </c>
      <c r="AC45" s="122">
        <f>((((0.829*$AB$51)+(0.078*AB45)-20.7)/100)*AA45)*($AC$51*0.01)</f>
        <v>0.9822456478254864</v>
      </c>
      <c r="AD45" s="122">
        <f>((((0.829*$AB$56)+(0.078*AB45)-20.7)/100)*AA45)*($AC$56*0.01)</f>
        <v>10.253883877933259</v>
      </c>
      <c r="AE45" s="122">
        <f>((((0.829*$AB$52)+(0.078*AB45)-20.7)/100)*AA45)*($AC$52*0.01)</f>
        <v>0.41543998547548655</v>
      </c>
      <c r="AF45" s="122">
        <f>((((0.829*$AB$57)+(0.078*AB45)-20.7)/100)*AA45)*($AC$57*0.01)</f>
        <v>6.31389329818326</v>
      </c>
      <c r="AG45" s="122">
        <f>((((0.829*$AB$53)+(0.078*AB45)-20.7)/100)*AA45)*($AC$53*0.01)</f>
        <v>0.2182901898754866</v>
      </c>
      <c r="AH45" s="122">
        <f>((((0.829*$AB$58)+(0.078*AB45)-20.7)/100)*AA45)*($AC$58*0.01)</f>
        <v>4.9434617921832587</v>
      </c>
      <c r="AI45" s="122">
        <f>((((0.829*$AB$54)+(0.078*AB45)-20.7)/100)*AA45)*($AC$54*0.01)</f>
        <v>1.1334521781771849</v>
      </c>
      <c r="AJ45" s="122">
        <f>((((0.829*$AB$59)+(0.078*AB45)-20.7)/100)*AA45)*($AC$59*0.01)</f>
        <v>7.2046179758310709</v>
      </c>
      <c r="AK45" s="122">
        <f>((((0.829*$AB$55)+(0.078*AB45)-20.7)/100)*AA45)*($AC$55*0.01)</f>
        <v>0.011343626196602601</v>
      </c>
      <c r="AL45" s="112">
        <f>((((0.829*$AB$60)+(0.078*AB45)-20.7)/100)*AA45)*($AC$60*0.01)</f>
        <v>2.1062073265922372</v>
      </c>
      <c r="AM45" s="40"/>
      <c r="AN45" s="40"/>
      <c r="AO45" s="40"/>
      <c r="AP45" s="40"/>
      <c r="AQ45" s="40"/>
      <c r="AR45" s="40"/>
    </row>
    <row r="46" spans="2:44" ht="13.8">
      <c r="B46" s="89" t="s">
        <v>136</v>
      </c>
      <c r="C46" s="93" t="s">
        <v>269</v>
      </c>
      <c r="D46" s="90">
        <f>IF(Table1[[#This Row],[Current (2025) Value known?]]="No",6,0)</f>
        <v>6</v>
      </c>
      <c r="E46" s="82">
        <f>25</f>
        <v>25</v>
      </c>
      <c r="F46" s="94" t="s">
        <v>269</v>
      </c>
      <c r="G46" s="84">
        <f>IF(Table1[[#This Row],[2026 Value known?]]="No",6,0)</f>
        <v>6</v>
      </c>
      <c r="H46" s="82">
        <v>25</v>
      </c>
      <c r="I46" s="83" t="s">
        <v>269</v>
      </c>
      <c r="J46" s="132">
        <v>6</v>
      </c>
      <c r="K46" s="131">
        <v>25</v>
      </c>
      <c r="L46" s="40"/>
      <c r="M46" s="40"/>
      <c r="N46" s="40"/>
      <c r="O46" s="40"/>
      <c r="P46" s="40"/>
      <c r="Y46" s="40"/>
      <c r="Z46" s="117" t="s">
        <v>525</v>
      </c>
      <c r="AA46" s="120">
        <v>775.05</v>
      </c>
      <c r="AB46" s="122">
        <v>41</v>
      </c>
      <c r="AC46" s="122">
        <f>((((0.829*$AB$51)+(0.078*AB46)-20.7)/100)*AA46)*($AC$51*0.01)</f>
        <v>1.0507717123499996</v>
      </c>
      <c r="AD46" s="122">
        <f>((((0.829*$AB$56)+(0.078*AB46)-20.7)/100)*AA46)*($AC$56*0.01)</f>
        <v>10.966488594749999</v>
      </c>
      <c r="AE46" s="122">
        <f>((((0.829*$AB$52)+(0.078*AB46)-20.7)/100)*AA46)*($AC$52*0.01)</f>
        <v>0.44487869999999979</v>
      </c>
      <c r="AF46" s="122">
        <f>((((0.829*$AB$57)+(0.078*AB46)-20.7)/100)*AA46)*($AC$57*0.01)</f>
        <v>6.754793265</v>
      </c>
      <c r="AG46" s="122">
        <f>((((0.829*$AB$53)+(0.078*AB46)-20.7)/100)*AA46)*($AC$53*0.01)</f>
        <v>0.23413330439999991</v>
      </c>
      <c r="AH46" s="122">
        <f>((((0.829*$AB$58)+(0.078*AB46)-20.7)/100)*AA46)*($AC$58*0.01)</f>
        <v>5.289855758999999</v>
      </c>
      <c r="AI46" s="122">
        <f>((((0.829*$AB$54)+(0.078*AB46)-20.7)/100)*AA46)*($AC$54*0.01)</f>
        <v>1.2121937009999997</v>
      </c>
      <c r="AJ46" s="122">
        <f>((((0.829*$AB$59)+(0.078*AB46)-20.7)/100)*AA46)*($AC$59*0.01)</f>
        <v>7.7043814247999967</v>
      </c>
      <c r="AK46" s="122">
        <f>((((0.829*$AB$55)+(0.078*AB46)-20.7)/100)*AA46)*($AC$55*0.01)</f>
        <v>0.01254960960000001</v>
      </c>
      <c r="AL46" s="112">
        <f>((((0.829*$AB$60)+(0.078*AB46)-20.7)/100)*AA46)*($AC$60*0.01)</f>
        <v>2.2546886543999993</v>
      </c>
      <c r="AM46" s="40"/>
      <c r="AN46" s="40"/>
      <c r="AO46" s="40"/>
      <c r="AP46" s="40"/>
      <c r="AQ46" s="40"/>
      <c r="AR46" s="40"/>
    </row>
    <row r="47" spans="2:44" ht="13.8">
      <c r="B47" s="89" t="s">
        <v>137</v>
      </c>
      <c r="C47" s="93" t="s">
        <v>269</v>
      </c>
      <c r="D47" s="90">
        <f>IF(Table1[[#This Row],[Current (2025) Value known?]]="No",6,0)</f>
        <v>6</v>
      </c>
      <c r="E47" s="82">
        <f>25</f>
        <v>25</v>
      </c>
      <c r="F47" s="94" t="s">
        <v>269</v>
      </c>
      <c r="G47" s="84">
        <f>IF(Table1[[#This Row],[2026 Value known?]]="No",6,0)</f>
        <v>6</v>
      </c>
      <c r="H47" s="82">
        <v>25</v>
      </c>
      <c r="I47" s="83" t="s">
        <v>269</v>
      </c>
      <c r="J47" s="132">
        <v>6</v>
      </c>
      <c r="K47" s="131">
        <v>25</v>
      </c>
      <c r="L47" s="40"/>
      <c r="M47" s="40"/>
      <c r="N47" s="40"/>
      <c r="O47" s="40"/>
      <c r="P47" s="40"/>
      <c r="Y47" s="40"/>
      <c r="Z47" s="117" t="s">
        <v>526</v>
      </c>
      <c r="AA47" s="120">
        <v>825.05</v>
      </c>
      <c r="AB47" s="122">
        <v>41</v>
      </c>
      <c r="AC47" s="122">
        <f>((((0.829*$AB$51)+(0.078*AB47)-20.7)/100)*AA47)*($AC$51*0.01)</f>
        <v>1.1185590623499995</v>
      </c>
      <c r="AD47" s="122">
        <f>((((0.829*$AB$56)+(0.078*AB47)-20.7)/100)*AA47)*($AC$56*0.01)</f>
        <v>11.673958344749996</v>
      </c>
      <c r="AE47" s="122">
        <f>((((0.829*$AB$52)+(0.078*AB47)-20.7)/100)*AA47)*($AC$52*0.01)</f>
        <v>0.4735786999999998</v>
      </c>
      <c r="AF47" s="122">
        <f>((((0.829*$AB$57)+(0.078*AB47)-20.7)/100)*AA47)*($AC$57*0.01)</f>
        <v>7.190558265</v>
      </c>
      <c r="AG47" s="122">
        <f>((((0.829*$AB$53)+(0.078*AB47)-20.7)/100)*AA47)*($AC$53*0.01)</f>
        <v>0.2492377043999999</v>
      </c>
      <c r="AH47" s="122">
        <f>((((0.829*$AB$58)+(0.078*AB47)-20.7)/100)*AA47)*($AC$58*0.01)</f>
        <v>5.631114759</v>
      </c>
      <c r="AI47" s="122">
        <f>((((0.829*$AB$54)+(0.078*AB47)-20.7)/100)*AA47)*($AC$54*0.01)</f>
        <v>1.2903947009999996</v>
      </c>
      <c r="AJ47" s="122">
        <f>((((0.829*$AB$59)+(0.078*AB47)-20.7)/100)*AA47)*($AC$59*0.01)</f>
        <v>8.2014062247999959</v>
      </c>
      <c r="AK47" s="122">
        <f>((((0.829*$AB$55)+(0.078*AB47)-20.7)/100)*AA47)*($AC$55*0.01)</f>
        <v>0.01335920960000001</v>
      </c>
      <c r="AL47" s="112">
        <f>((((0.829*$AB$60)+(0.078*AB47)-20.7)/100)*AA47)*($AC$60*0.01)</f>
        <v>2.4001430543999995</v>
      </c>
      <c r="AM47" s="40"/>
      <c r="AN47" s="40"/>
      <c r="AO47" s="40"/>
      <c r="AP47" s="40"/>
      <c r="AQ47" s="40"/>
      <c r="AR47" s="40"/>
    </row>
    <row r="48" spans="2:44" ht="14.4" thickBot="1">
      <c r="B48" s="89" t="s">
        <v>138</v>
      </c>
      <c r="C48" s="93" t="s">
        <v>269</v>
      </c>
      <c r="D48" s="90">
        <f>IF(Table1[[#This Row],[Current (2025) Value known?]]="No",6,0)</f>
        <v>6</v>
      </c>
      <c r="E48" s="82">
        <f>25</f>
        <v>25</v>
      </c>
      <c r="F48" s="94" t="s">
        <v>269</v>
      </c>
      <c r="G48" s="84">
        <f>IF(Table1[[#This Row],[2026 Value known?]]="No",6,0)</f>
        <v>6</v>
      </c>
      <c r="H48" s="82">
        <v>25</v>
      </c>
      <c r="I48" s="83" t="s">
        <v>269</v>
      </c>
      <c r="J48" s="132">
        <v>6</v>
      </c>
      <c r="K48" s="131">
        <v>25</v>
      </c>
      <c r="L48" s="40"/>
      <c r="M48" s="40"/>
      <c r="N48" s="40"/>
      <c r="O48" s="40"/>
      <c r="P48" s="40"/>
      <c r="Y48" s="40"/>
      <c r="Z48" s="118" t="s">
        <v>434</v>
      </c>
      <c r="AA48" s="121">
        <v>875.05</v>
      </c>
      <c r="AB48" s="123">
        <v>41</v>
      </c>
      <c r="AC48" s="123">
        <f>((((0.829*$AB$51)+(0.078*AB48)-20.7)/100)*AA48)*($AC$51*0.01)</f>
        <v>1.1863464123499996</v>
      </c>
      <c r="AD48" s="123">
        <f>((((0.829*$AB$56)+(0.078*AB48)-20.7)/100)*AA48)*($AC$56*0.01)</f>
        <v>12.381428094749998</v>
      </c>
      <c r="AE48" s="123">
        <f>((((0.829*$AB$52)+(0.078*AB48)-20.7)/100)*AA48)*($AC$52*0.01)</f>
        <v>0.50227869999999974</v>
      </c>
      <c r="AF48" s="123">
        <f>((((0.829*$AB$57)+(0.078*AB48)-20.7)/100)*AA48)*($AC$57*0.01)</f>
        <v>7.626323265</v>
      </c>
      <c r="AG48" s="123">
        <f>((((0.829*$AB$53)+(0.078*AB48)-20.7)/100)*AA48)*($AC$53*0.01)</f>
        <v>0.26434210439999989</v>
      </c>
      <c r="AH48" s="123">
        <f>((((0.829*$AB$58)+(0.078*AB48)-20.7)/100)*AA48)*($AC$58*0.01)</f>
        <v>5.972373758999999</v>
      </c>
      <c r="AI48" s="123">
        <f>((((0.829*$AB$54)+(0.078*AB48)-20.7)/100)*AA48)*($AC$54*0.01)</f>
        <v>1.3685957009999998</v>
      </c>
      <c r="AJ48" s="123">
        <f>((((0.829*$AB$59)+(0.078*AB48)-20.7)/100)*AA48)*($AC$59*0.01)</f>
        <v>8.6984310247999979</v>
      </c>
      <c r="AK48" s="123">
        <f>((((0.829*$AB$55)+(0.078*AB48)-20.7)/100)*AA48)*($AC$55*0.01)</f>
        <v>0.014168809600000011</v>
      </c>
      <c r="AL48" s="113">
        <f>((((0.829*$AB$60)+(0.078*AB48)-20.7)/100)*AA48)*($AC$60*0.01)</f>
        <v>2.5455974543999997</v>
      </c>
      <c r="AM48" s="40"/>
      <c r="AN48" s="40"/>
      <c r="AO48" s="40"/>
      <c r="AP48" s="40"/>
      <c r="AQ48" s="40"/>
      <c r="AR48" s="40"/>
    </row>
    <row r="49" spans="2:44" ht="14.4" thickBot="1">
      <c r="B49" s="89" t="s">
        <v>139</v>
      </c>
      <c r="C49" s="93" t="s">
        <v>269</v>
      </c>
      <c r="D49" s="90">
        <f>IF(Table1[[#This Row],[Current (2025) Value known?]]="No",6,0)</f>
        <v>6</v>
      </c>
      <c r="E49" s="82">
        <f>25</f>
        <v>25</v>
      </c>
      <c r="F49" s="94" t="s">
        <v>269</v>
      </c>
      <c r="G49" s="84">
        <f>IF(Table1[[#This Row],[2026 Value known?]]="No",6,0)</f>
        <v>6</v>
      </c>
      <c r="H49" s="82">
        <v>25</v>
      </c>
      <c r="I49" s="83" t="s">
        <v>269</v>
      </c>
      <c r="J49" s="132">
        <v>6</v>
      </c>
      <c r="K49" s="131">
        <v>25</v>
      </c>
      <c r="L49" s="40"/>
      <c r="M49" s="40"/>
      <c r="N49" s="40"/>
      <c r="O49" s="40"/>
      <c r="P49" s="40"/>
      <c r="Y49" s="40"/>
      <c r="Z49" s="40"/>
      <c r="AA49" s="40"/>
      <c r="AB49" s="40"/>
      <c r="AC49" s="40"/>
      <c r="AD49" s="40"/>
      <c r="AE49" s="40"/>
      <c r="AF49" s="40"/>
      <c r="AG49" s="40"/>
      <c r="AH49" s="40"/>
      <c r="AI49" s="40"/>
      <c r="AJ49" s="40"/>
      <c r="AK49" s="40"/>
      <c r="AL49" s="40"/>
      <c r="AM49" s="40"/>
      <c r="AN49" s="40"/>
      <c r="AO49" s="40"/>
      <c r="AP49" s="40"/>
      <c r="AQ49" s="40"/>
      <c r="AR49" s="40"/>
    </row>
    <row r="50" spans="2:44" ht="27.6">
      <c r="B50" s="89" t="s">
        <v>140</v>
      </c>
      <c r="C50" s="93" t="s">
        <v>267</v>
      </c>
      <c r="D50" s="364">
        <v>0.74</v>
      </c>
      <c r="E50" s="82">
        <f>25</f>
        <v>25</v>
      </c>
      <c r="F50" s="94" t="s">
        <v>267</v>
      </c>
      <c r="G50" s="363">
        <f>Table1[[#This Row],[Current (2025) TP Discharge level (mg/l)]]</f>
        <v>0.74</v>
      </c>
      <c r="H50" s="82">
        <v>25</v>
      </c>
      <c r="I50" s="83" t="s">
        <v>267</v>
      </c>
      <c r="J50" s="137">
        <f>0.25*0.9</f>
        <v>0.225</v>
      </c>
      <c r="K50" s="358">
        <f>10*0.9</f>
        <v>9</v>
      </c>
      <c r="L50" s="40"/>
      <c r="M50" s="40"/>
      <c r="N50" s="40"/>
      <c r="O50" s="40"/>
      <c r="P50" s="40"/>
      <c r="Z50" s="126"/>
      <c r="AA50" s="127" t="s">
        <v>527</v>
      </c>
      <c r="AB50" s="127" t="s">
        <v>528</v>
      </c>
      <c r="AC50" s="128" t="s">
        <v>529</v>
      </c>
      <c r="AD50" s="40"/>
      <c r="AE50" s="40"/>
      <c r="AF50" s="40"/>
      <c r="AG50" s="40"/>
      <c r="AH50" s="40"/>
      <c r="AI50" s="40"/>
      <c r="AJ50" s="40"/>
      <c r="AK50" s="40"/>
      <c r="AL50" s="40"/>
      <c r="AM50" s="40"/>
      <c r="AN50" s="40"/>
      <c r="AO50" s="40"/>
      <c r="AP50" s="40"/>
      <c r="AQ50" s="40"/>
      <c r="AR50" s="40"/>
    </row>
    <row r="51" spans="2:44" ht="13.8">
      <c r="B51" s="89" t="s">
        <v>141</v>
      </c>
      <c r="C51" s="93" t="s">
        <v>269</v>
      </c>
      <c r="D51" s="90">
        <f>IF(Table1[[#This Row],[Current (2025) Value known?]]="No",6,0)</f>
        <v>6</v>
      </c>
      <c r="E51" s="82">
        <f>25</f>
        <v>25</v>
      </c>
      <c r="F51" s="94" t="s">
        <v>269</v>
      </c>
      <c r="G51" s="84">
        <f>IF(Table1[[#This Row],[2026 Value known?]]="No",6,0)</f>
        <v>6</v>
      </c>
      <c r="H51" s="82">
        <v>25</v>
      </c>
      <c r="I51" s="83" t="s">
        <v>267</v>
      </c>
      <c r="J51" s="137">
        <f>0.25*0.9</f>
        <v>0.225</v>
      </c>
      <c r="K51" s="358">
        <f>10*0.9</f>
        <v>9</v>
      </c>
      <c r="L51" s="40"/>
      <c r="M51" s="40"/>
      <c r="N51" s="40"/>
      <c r="O51" s="40"/>
      <c r="P51" s="40"/>
      <c r="Z51" s="117" t="s">
        <v>410</v>
      </c>
      <c r="AA51" s="120" t="s">
        <v>43</v>
      </c>
      <c r="AB51" s="120">
        <f>51+10</f>
        <v>61</v>
      </c>
      <c r="AC51" s="124">
        <v>0.41</v>
      </c>
      <c r="AD51" s="40"/>
      <c r="AE51" s="40"/>
      <c r="AF51" s="40"/>
      <c r="AG51" s="40"/>
      <c r="AH51" s="40"/>
      <c r="AI51" s="40"/>
      <c r="AJ51" s="40"/>
      <c r="AK51" s="40"/>
      <c r="AL51" s="40"/>
      <c r="AM51" s="40"/>
      <c r="AN51" s="40"/>
      <c r="AO51" s="40"/>
      <c r="AP51" s="40"/>
      <c r="AQ51" s="40"/>
      <c r="AR51" s="40"/>
    </row>
    <row r="52" spans="2:44" ht="13.8">
      <c r="B52" s="89" t="s">
        <v>142</v>
      </c>
      <c r="C52" s="93" t="s">
        <v>267</v>
      </c>
      <c r="D52" s="364">
        <v>0.62</v>
      </c>
      <c r="E52" s="82">
        <f>25</f>
        <v>25</v>
      </c>
      <c r="F52" s="94" t="s">
        <v>267</v>
      </c>
      <c r="G52" s="363">
        <f>Table1[[#This Row],[Current (2025) TP Discharge level (mg/l)]]</f>
        <v>0.62</v>
      </c>
      <c r="H52" s="82">
        <v>25</v>
      </c>
      <c r="I52" s="83" t="s">
        <v>267</v>
      </c>
      <c r="J52" s="363">
        <f>Table1[[#This Row],[Post 2026 TP Discharge level (mg/l)]]</f>
        <v>0.62</v>
      </c>
      <c r="K52" s="131">
        <f>Table1[[#This Row],[Post 2026 TN Discharge level (mg/l)]]</f>
        <v>25</v>
      </c>
      <c r="L52" s="40"/>
      <c r="M52" s="40"/>
      <c r="N52" s="40"/>
      <c r="O52" s="40"/>
      <c r="P52" s="40"/>
      <c r="Z52" s="117" t="s">
        <v>410</v>
      </c>
      <c r="AA52" s="120" t="s">
        <v>45</v>
      </c>
      <c r="AB52" s="120">
        <f>28+10</f>
        <v>38</v>
      </c>
      <c r="AC52" s="124">
        <v>0.41</v>
      </c>
      <c r="AD52" s="40"/>
      <c r="AE52" s="40"/>
      <c r="AF52" s="40"/>
      <c r="AG52" s="40"/>
      <c r="AH52" s="40"/>
      <c r="AI52" s="40"/>
      <c r="AJ52" s="40"/>
      <c r="AK52" s="40"/>
      <c r="AL52" s="40"/>
      <c r="AM52" s="40"/>
      <c r="AN52" s="40"/>
      <c r="AO52" s="40"/>
      <c r="AP52" s="40"/>
      <c r="AQ52" s="40"/>
      <c r="AR52" s="40"/>
    </row>
    <row r="53" spans="2:44" ht="13.8">
      <c r="B53" s="89" t="s">
        <v>143</v>
      </c>
      <c r="C53" s="93" t="s">
        <v>269</v>
      </c>
      <c r="D53" s="90">
        <f>IF(Table1[[#This Row],[Current (2025) Value known?]]="No",6,0)</f>
        <v>6</v>
      </c>
      <c r="E53" s="82">
        <f>25</f>
        <v>25</v>
      </c>
      <c r="F53" s="94" t="s">
        <v>269</v>
      </c>
      <c r="G53" s="84">
        <f>IF(Table1[[#This Row],[2026 Value known?]]="No",6,0)</f>
        <v>6</v>
      </c>
      <c r="H53" s="82">
        <v>25</v>
      </c>
      <c r="I53" s="83" t="s">
        <v>269</v>
      </c>
      <c r="J53" s="132">
        <v>6</v>
      </c>
      <c r="K53" s="131">
        <v>25</v>
      </c>
      <c r="L53" s="40"/>
      <c r="M53" s="40"/>
      <c r="N53" s="40"/>
      <c r="O53" s="40"/>
      <c r="P53" s="40"/>
      <c r="Z53" s="117" t="s">
        <v>410</v>
      </c>
      <c r="AA53" s="120" t="s">
        <v>47</v>
      </c>
      <c r="AB53" s="120">
        <f>20+10</f>
        <v>30</v>
      </c>
      <c r="AC53" s="124">
        <v>0.41</v>
      </c>
      <c r="AD53" s="40"/>
      <c r="AE53" s="40"/>
      <c r="AF53" s="40"/>
      <c r="AG53" s="40"/>
      <c r="AH53" s="40"/>
      <c r="AI53" s="40"/>
      <c r="AJ53" s="40"/>
      <c r="AK53" s="40"/>
      <c r="AL53" s="40"/>
      <c r="AM53" s="40"/>
      <c r="AN53" s="40"/>
      <c r="AO53" s="40"/>
      <c r="AP53" s="40"/>
      <c r="AQ53" s="40"/>
      <c r="AR53" s="40"/>
    </row>
    <row r="54" spans="2:44" ht="13.8">
      <c r="B54" s="89" t="s">
        <v>144</v>
      </c>
      <c r="C54" s="93" t="s">
        <v>267</v>
      </c>
      <c r="D54" s="134">
        <f>2*0.9</f>
        <v>1.8</v>
      </c>
      <c r="E54" s="82">
        <f>25</f>
        <v>25</v>
      </c>
      <c r="F54" s="94" t="s">
        <v>267</v>
      </c>
      <c r="G54" s="137">
        <f>Table1[[#This Row],[Current (2025) TP Discharge level (mg/l)]]</f>
        <v>1.8</v>
      </c>
      <c r="H54" s="82">
        <v>25</v>
      </c>
      <c r="I54" s="83" t="s">
        <v>267</v>
      </c>
      <c r="J54" s="137">
        <f>0.25*0.9</f>
        <v>0.225</v>
      </c>
      <c r="K54" s="131">
        <f>Table1[[#This Row],[Post 2026 TN Discharge level (mg/l)]]</f>
        <v>25</v>
      </c>
      <c r="L54" s="40"/>
      <c r="M54" s="40"/>
      <c r="N54" s="40"/>
      <c r="O54" s="40"/>
      <c r="P54" s="40"/>
      <c r="Z54" s="117" t="s">
        <v>410</v>
      </c>
      <c r="AA54" s="120" t="s">
        <v>341</v>
      </c>
      <c r="AB54" s="120">
        <f>74+10</f>
        <v>84</v>
      </c>
      <c r="AC54" s="124">
        <v>0.3</v>
      </c>
      <c r="AD54" s="40"/>
      <c r="AE54" s="40"/>
      <c r="AF54" s="40"/>
      <c r="AG54" s="40"/>
      <c r="AH54" s="40"/>
      <c r="AI54" s="40"/>
      <c r="AJ54" s="40"/>
      <c r="AK54" s="40"/>
      <c r="AL54" s="40"/>
      <c r="AM54" s="40"/>
      <c r="AN54" s="40"/>
      <c r="AO54" s="40"/>
      <c r="AP54" s="40"/>
      <c r="AQ54" s="40"/>
      <c r="AR54" s="40"/>
    </row>
    <row r="55" spans="2:44" ht="13.8">
      <c r="B55" s="89" t="s">
        <v>145</v>
      </c>
      <c r="C55" s="93" t="s">
        <v>267</v>
      </c>
      <c r="D55" s="364">
        <v>0.83</v>
      </c>
      <c r="E55" s="82">
        <f>25</f>
        <v>25</v>
      </c>
      <c r="F55" s="94" t="s">
        <v>267</v>
      </c>
      <c r="G55" s="363">
        <v>0.83</v>
      </c>
      <c r="H55" s="82">
        <v>25</v>
      </c>
      <c r="I55" s="83" t="s">
        <v>267</v>
      </c>
      <c r="J55" s="137">
        <f>0.25*0.9</f>
        <v>0.225</v>
      </c>
      <c r="K55" s="358">
        <f>10*0.9</f>
        <v>9</v>
      </c>
      <c r="L55" s="40"/>
      <c r="M55" s="40"/>
      <c r="N55" s="40"/>
      <c r="O55" s="40"/>
      <c r="P55" s="40"/>
      <c r="Z55" s="117" t="s">
        <v>410</v>
      </c>
      <c r="AA55" s="120" t="s">
        <v>51</v>
      </c>
      <c r="AB55" s="120">
        <f>12+10</f>
        <v>22</v>
      </c>
      <c r="AC55" s="124">
        <v>0.22</v>
      </c>
      <c r="AD55" s="40"/>
      <c r="AE55" s="40"/>
      <c r="AF55" s="40"/>
      <c r="AG55" s="40"/>
      <c r="AH55" s="40"/>
      <c r="AI55" s="40"/>
      <c r="AJ55" s="40"/>
      <c r="AK55" s="40"/>
      <c r="AL55" s="40"/>
      <c r="AM55" s="40"/>
      <c r="AN55" s="40"/>
      <c r="AO55" s="40"/>
      <c r="AP55" s="40"/>
      <c r="AQ55" s="40"/>
      <c r="AR55" s="40"/>
    </row>
    <row r="56" spans="2:44" ht="13.8">
      <c r="B56" s="89" t="s">
        <v>146</v>
      </c>
      <c r="C56" s="93" t="s">
        <v>269</v>
      </c>
      <c r="D56" s="90">
        <f>IF(Table1[[#This Row],[Current (2025) Value known?]]="No",6,0)</f>
        <v>6</v>
      </c>
      <c r="E56" s="82">
        <f>25</f>
        <v>25</v>
      </c>
      <c r="F56" s="94" t="s">
        <v>269</v>
      </c>
      <c r="G56" s="84">
        <f>IF(Table1[[#This Row],[2026 Value known?]]="No",6,0)</f>
        <v>6</v>
      </c>
      <c r="H56" s="82">
        <v>25</v>
      </c>
      <c r="I56" s="83" t="s">
        <v>269</v>
      </c>
      <c r="J56" s="132">
        <v>6</v>
      </c>
      <c r="K56" s="131">
        <v>25</v>
      </c>
      <c r="L56" s="40"/>
      <c r="M56" s="40"/>
      <c r="N56" s="40"/>
      <c r="O56" s="40"/>
      <c r="P56" s="40"/>
      <c r="Z56" s="117" t="s">
        <v>411</v>
      </c>
      <c r="AA56" s="120" t="s">
        <v>530</v>
      </c>
      <c r="AB56" s="120">
        <f>AB51+20</f>
        <v>81</v>
      </c>
      <c r="AC56" s="124">
        <v>2.85</v>
      </c>
      <c r="AD56" s="40"/>
      <c r="AE56" s="40"/>
      <c r="AF56" s="40"/>
      <c r="AG56" s="40"/>
      <c r="AH56" s="40"/>
      <c r="AI56" s="40"/>
      <c r="AJ56" s="40"/>
      <c r="AK56" s="40"/>
      <c r="AL56" s="40"/>
      <c r="AM56" s="40"/>
      <c r="AN56" s="40"/>
      <c r="AO56" s="40"/>
      <c r="AP56" s="40"/>
      <c r="AQ56" s="40"/>
      <c r="AR56" s="40"/>
    </row>
    <row r="57" spans="2:44" ht="13.8">
      <c r="B57" s="89" t="s">
        <v>147</v>
      </c>
      <c r="C57" s="93" t="s">
        <v>267</v>
      </c>
      <c r="D57" s="364">
        <v>1.34</v>
      </c>
      <c r="E57" s="82">
        <f>25</f>
        <v>25</v>
      </c>
      <c r="F57" s="94" t="s">
        <v>267</v>
      </c>
      <c r="G57" s="363">
        <v>1.34</v>
      </c>
      <c r="H57" s="82">
        <v>25</v>
      </c>
      <c r="I57" s="83" t="s">
        <v>267</v>
      </c>
      <c r="J57" s="137">
        <f>0.25*0.9</f>
        <v>0.225</v>
      </c>
      <c r="K57" s="131">
        <f>Table1[[#This Row],[Post 2026 TN Discharge level (mg/l)]]</f>
        <v>25</v>
      </c>
      <c r="L57" s="40"/>
      <c r="M57" s="40"/>
      <c r="N57" s="40"/>
      <c r="O57" s="40"/>
      <c r="P57" s="40"/>
      <c r="Z57" s="117" t="s">
        <v>411</v>
      </c>
      <c r="AA57" s="120" t="s">
        <v>45</v>
      </c>
      <c r="AB57" s="120">
        <f>AB52+20</f>
        <v>58</v>
      </c>
      <c r="AC57" s="124">
        <v>2.85</v>
      </c>
      <c r="AD57" s="40"/>
      <c r="AE57" s="40"/>
      <c r="AF57" s="40"/>
      <c r="AG57" s="40"/>
      <c r="AH57" s="40"/>
      <c r="AI57" s="40"/>
      <c r="AJ57" s="40"/>
      <c r="AK57" s="40"/>
      <c r="AL57" s="40"/>
      <c r="AM57" s="40"/>
      <c r="AN57" s="40"/>
      <c r="AO57" s="40"/>
      <c r="AP57" s="40"/>
      <c r="AQ57" s="40"/>
      <c r="AR57" s="40"/>
    </row>
    <row r="58" spans="2:44" ht="13.8">
      <c r="B58" s="89" t="s">
        <v>148</v>
      </c>
      <c r="C58" s="93" t="s">
        <v>269</v>
      </c>
      <c r="D58" s="90">
        <f>IF(Table1[[#This Row],[Current (2025) Value known?]]="No",6,0)</f>
        <v>6</v>
      </c>
      <c r="E58" s="82">
        <f>25</f>
        <v>25</v>
      </c>
      <c r="F58" s="94" t="s">
        <v>269</v>
      </c>
      <c r="G58" s="84">
        <f>IF(Table1[[#This Row],[2026 Value known?]]="No",6,0)</f>
        <v>6</v>
      </c>
      <c r="H58" s="82">
        <v>25</v>
      </c>
      <c r="I58" s="83" t="s">
        <v>267</v>
      </c>
      <c r="J58" s="137">
        <f>0.25*0.9</f>
        <v>0.225</v>
      </c>
      <c r="K58" s="358">
        <f>10*0.9</f>
        <v>9</v>
      </c>
      <c r="L58" s="40"/>
      <c r="M58" s="40"/>
      <c r="N58" s="40"/>
      <c r="O58" s="40"/>
      <c r="P58" s="40"/>
      <c r="Z58" s="117" t="s">
        <v>411</v>
      </c>
      <c r="AA58" s="120" t="s">
        <v>47</v>
      </c>
      <c r="AB58" s="120">
        <f>AB53+20</f>
        <v>50</v>
      </c>
      <c r="AC58" s="124">
        <v>2.85</v>
      </c>
      <c r="AD58" s="40"/>
      <c r="AE58" s="40"/>
      <c r="AF58" s="40"/>
      <c r="AG58" s="40"/>
      <c r="AH58" s="40"/>
      <c r="AI58" s="40"/>
      <c r="AJ58" s="40"/>
      <c r="AK58" s="40"/>
      <c r="AL58" s="40"/>
      <c r="AM58" s="40"/>
      <c r="AN58" s="40"/>
      <c r="AO58" s="40"/>
      <c r="AP58" s="40"/>
      <c r="AQ58" s="40"/>
      <c r="AR58" s="40"/>
    </row>
    <row r="59" spans="2:44" ht="13.8">
      <c r="B59" s="89" t="s">
        <v>149</v>
      </c>
      <c r="C59" s="93" t="s">
        <v>269</v>
      </c>
      <c r="D59" s="90">
        <f>IF(Table1[[#This Row],[Current (2025) Value known?]]="No",6,0)</f>
        <v>6</v>
      </c>
      <c r="E59" s="82">
        <f>25</f>
        <v>25</v>
      </c>
      <c r="F59" s="94" t="s">
        <v>269</v>
      </c>
      <c r="G59" s="84">
        <f>IF(Table1[[#This Row],[2026 Value known?]]="No",6,0)</f>
        <v>6</v>
      </c>
      <c r="H59" s="82">
        <v>25</v>
      </c>
      <c r="I59" s="83" t="s">
        <v>269</v>
      </c>
      <c r="J59" s="132">
        <v>6</v>
      </c>
      <c r="K59" s="131">
        <v>25</v>
      </c>
      <c r="L59" s="40"/>
      <c r="M59" s="40"/>
      <c r="N59" s="40"/>
      <c r="O59" s="40"/>
      <c r="P59" s="40"/>
      <c r="Z59" s="117" t="s">
        <v>411</v>
      </c>
      <c r="AA59" s="120" t="s">
        <v>341</v>
      </c>
      <c r="AB59" s="120">
        <f>100</f>
        <v>100</v>
      </c>
      <c r="AC59" s="124">
        <v>1.52</v>
      </c>
      <c r="AD59" s="40"/>
      <c r="AE59" s="40"/>
      <c r="AF59" s="40"/>
      <c r="AG59" s="40"/>
      <c r="AH59" s="40"/>
      <c r="AI59" s="40"/>
      <c r="AJ59" s="40"/>
      <c r="AK59" s="40"/>
      <c r="AL59" s="40"/>
      <c r="AM59" s="40"/>
      <c r="AN59" s="40"/>
      <c r="AO59" s="40"/>
      <c r="AP59" s="40"/>
      <c r="AQ59" s="40"/>
      <c r="AR59" s="40"/>
    </row>
    <row r="60" spans="2:44" ht="14.4" thickBot="1">
      <c r="B60" s="89" t="s">
        <v>150</v>
      </c>
      <c r="C60" s="93" t="s">
        <v>267</v>
      </c>
      <c r="D60" s="364">
        <v>0.65</v>
      </c>
      <c r="E60" s="82">
        <f>25</f>
        <v>25</v>
      </c>
      <c r="F60" s="94" t="s">
        <v>267</v>
      </c>
      <c r="G60" s="363">
        <v>0.65</v>
      </c>
      <c r="H60" s="82">
        <v>25</v>
      </c>
      <c r="I60" s="83" t="s">
        <v>267</v>
      </c>
      <c r="J60" s="137">
        <f>0.25*0.9</f>
        <v>0.225</v>
      </c>
      <c r="K60" s="131">
        <f>Table1[[#This Row],[Post 2026 TN Discharge level (mg/l)]]</f>
        <v>25</v>
      </c>
      <c r="L60" s="40"/>
      <c r="M60" s="40"/>
      <c r="N60" s="40"/>
      <c r="O60" s="40"/>
      <c r="P60" s="40"/>
      <c r="Q60" s="40"/>
      <c r="R60" s="40"/>
      <c r="S60" s="40"/>
      <c r="T60" s="40"/>
      <c r="U60" s="40"/>
      <c r="V60" s="40"/>
      <c r="W60" s="40"/>
      <c r="X60" s="40"/>
      <c r="Z60" s="118" t="s">
        <v>411</v>
      </c>
      <c r="AA60" s="121" t="s">
        <v>51</v>
      </c>
      <c r="AB60" s="121">
        <f>AB55+20</f>
        <v>42</v>
      </c>
      <c r="AC60" s="125">
        <v>1.68</v>
      </c>
      <c r="AD60" s="40"/>
      <c r="AE60" s="40"/>
      <c r="AF60" s="40"/>
      <c r="AG60" s="40"/>
      <c r="AH60" s="40"/>
      <c r="AI60" s="40"/>
      <c r="AJ60" s="40"/>
      <c r="AK60" s="40"/>
      <c r="AL60" s="40"/>
      <c r="AM60" s="40"/>
      <c r="AN60" s="40"/>
      <c r="AO60" s="40"/>
      <c r="AP60" s="40"/>
      <c r="AQ60" s="40"/>
      <c r="AR60" s="40"/>
    </row>
    <row r="61" spans="2:44" ht="13.8">
      <c r="B61" s="89" t="s">
        <v>151</v>
      </c>
      <c r="C61" s="93" t="s">
        <v>269</v>
      </c>
      <c r="D61" s="90">
        <f>IF(Table1[[#This Row],[Current (2025) Value known?]]="No",6,0)</f>
        <v>6</v>
      </c>
      <c r="E61" s="82">
        <f>25</f>
        <v>25</v>
      </c>
      <c r="F61" s="94" t="s">
        <v>269</v>
      </c>
      <c r="G61" s="84">
        <f>IF(Table1[[#This Row],[2026 Value known?]]="No",6,0)</f>
        <v>6</v>
      </c>
      <c r="H61" s="82">
        <v>25</v>
      </c>
      <c r="I61" s="83" t="s">
        <v>267</v>
      </c>
      <c r="J61" s="137">
        <f>0.25*0.9</f>
        <v>0.225</v>
      </c>
      <c r="K61" s="358">
        <v>9</v>
      </c>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row>
    <row r="62" spans="2:44" ht="13.8">
      <c r="B62" s="89" t="s">
        <v>152</v>
      </c>
      <c r="C62" s="93" t="s">
        <v>269</v>
      </c>
      <c r="D62" s="90">
        <f>IF(Table1[[#This Row],[Current (2025) Value known?]]="No",6,0)</f>
        <v>6</v>
      </c>
      <c r="E62" s="82">
        <f>25</f>
        <v>25</v>
      </c>
      <c r="F62" s="94" t="s">
        <v>269</v>
      </c>
      <c r="G62" s="84">
        <f>IF(Table1[[#This Row],[2026 Value known?]]="No",6,0)</f>
        <v>6</v>
      </c>
      <c r="H62" s="82">
        <v>25</v>
      </c>
      <c r="I62" s="83" t="s">
        <v>269</v>
      </c>
      <c r="J62" s="132">
        <v>6</v>
      </c>
      <c r="K62" s="131">
        <v>25</v>
      </c>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row>
    <row r="63" spans="2:44" ht="13.8">
      <c r="B63" s="89" t="s">
        <v>153</v>
      </c>
      <c r="C63" s="93" t="s">
        <v>269</v>
      </c>
      <c r="D63" s="90">
        <f>IF(Table1[[#This Row],[Current (2025) Value known?]]="No",6,0)</f>
        <v>6</v>
      </c>
      <c r="E63" s="82">
        <f>25</f>
        <v>25</v>
      </c>
      <c r="F63" s="94" t="s">
        <v>269</v>
      </c>
      <c r="G63" s="84">
        <f>IF(Table1[[#This Row],[2026 Value known?]]="No",6,0)</f>
        <v>6</v>
      </c>
      <c r="H63" s="82">
        <v>25</v>
      </c>
      <c r="I63" s="83" t="s">
        <v>269</v>
      </c>
      <c r="J63" s="132">
        <v>6</v>
      </c>
      <c r="K63" s="131">
        <v>25</v>
      </c>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row>
    <row r="64" spans="2:44" ht="13.8">
      <c r="B64" s="89" t="s">
        <v>154</v>
      </c>
      <c r="C64" s="93" t="s">
        <v>269</v>
      </c>
      <c r="D64" s="90">
        <f>IF(Table1[[#This Row],[Current (2025) Value known?]]="No",6,0)</f>
        <v>6</v>
      </c>
      <c r="E64" s="82">
        <f>25</f>
        <v>25</v>
      </c>
      <c r="F64" s="94" t="s">
        <v>269</v>
      </c>
      <c r="G64" s="84">
        <f>IF(Table1[[#This Row],[2026 Value known?]]="No",6,0)</f>
        <v>6</v>
      </c>
      <c r="H64" s="82">
        <v>25</v>
      </c>
      <c r="I64" s="83" t="s">
        <v>269</v>
      </c>
      <c r="J64" s="132">
        <v>6</v>
      </c>
      <c r="K64" s="131">
        <v>25</v>
      </c>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row>
    <row r="65" spans="2:44" ht="13.8">
      <c r="B65" s="89" t="s">
        <v>155</v>
      </c>
      <c r="C65" s="93" t="s">
        <v>269</v>
      </c>
      <c r="D65" s="90">
        <f>IF(Table1[[#This Row],[Current (2025) Value known?]]="No",6,0)</f>
        <v>6</v>
      </c>
      <c r="E65" s="82">
        <f>25</f>
        <v>25</v>
      </c>
      <c r="F65" s="94" t="s">
        <v>269</v>
      </c>
      <c r="G65" s="84">
        <f>IF(Table1[[#This Row],[2026 Value known?]]="No",6,0)</f>
        <v>6</v>
      </c>
      <c r="H65" s="82">
        <v>25</v>
      </c>
      <c r="I65" s="83" t="s">
        <v>269</v>
      </c>
      <c r="J65" s="132">
        <v>6</v>
      </c>
      <c r="K65" s="131">
        <v>25</v>
      </c>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row>
    <row r="66" spans="2:44" ht="13.8">
      <c r="B66" s="89" t="s">
        <v>156</v>
      </c>
      <c r="C66" s="93" t="s">
        <v>269</v>
      </c>
      <c r="D66" s="90">
        <f>IF(Table1[[#This Row],[Current (2025) Value known?]]="No",6,0)</f>
        <v>6</v>
      </c>
      <c r="E66" s="82">
        <f>25</f>
        <v>25</v>
      </c>
      <c r="F66" s="94" t="s">
        <v>269</v>
      </c>
      <c r="G66" s="84">
        <f>IF(Table1[[#This Row],[2026 Value known?]]="No",6,0)</f>
        <v>6</v>
      </c>
      <c r="H66" s="82">
        <v>25</v>
      </c>
      <c r="I66" s="83" t="s">
        <v>269</v>
      </c>
      <c r="J66" s="132">
        <v>6</v>
      </c>
      <c r="K66" s="131">
        <v>25</v>
      </c>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row>
    <row r="67" spans="2:44" ht="13.8">
      <c r="B67" s="89" t="s">
        <v>157</v>
      </c>
      <c r="C67" s="93" t="s">
        <v>267</v>
      </c>
      <c r="D67" s="355">
        <f>0.8*0.9</f>
        <v>0.72000000000000008</v>
      </c>
      <c r="E67" s="82">
        <f>25</f>
        <v>25</v>
      </c>
      <c r="F67" s="94" t="s">
        <v>267</v>
      </c>
      <c r="G67" s="367">
        <f>0.8*0.9</f>
        <v>0.72000000000000008</v>
      </c>
      <c r="H67" s="82">
        <v>25</v>
      </c>
      <c r="I67" s="83" t="s">
        <v>267</v>
      </c>
      <c r="J67" s="367">
        <f>0.8*0.9</f>
        <v>0.72000000000000008</v>
      </c>
      <c r="K67" s="131">
        <f>Table1[[#This Row],[Post 2026 TN Discharge level (mg/l)]]</f>
        <v>25</v>
      </c>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row>
    <row r="68" spans="2:44" ht="13.8">
      <c r="B68" s="89" t="s">
        <v>158</v>
      </c>
      <c r="C68" s="93" t="s">
        <v>269</v>
      </c>
      <c r="D68" s="90">
        <f>IF(Table1[[#This Row],[Current (2025) Value known?]]="No",6,0)</f>
        <v>6</v>
      </c>
      <c r="E68" s="82">
        <f>25</f>
        <v>25</v>
      </c>
      <c r="F68" s="94" t="s">
        <v>269</v>
      </c>
      <c r="G68" s="84">
        <f>IF(Table1[[#This Row],[2026 Value known?]]="No",6,0)</f>
        <v>6</v>
      </c>
      <c r="H68" s="82">
        <v>25</v>
      </c>
      <c r="I68" s="83" t="s">
        <v>269</v>
      </c>
      <c r="J68" s="132">
        <v>6</v>
      </c>
      <c r="K68" s="131">
        <v>25</v>
      </c>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row>
    <row r="69" spans="2:44" ht="13.8">
      <c r="B69" s="89" t="s">
        <v>159</v>
      </c>
      <c r="C69" s="93" t="s">
        <v>269</v>
      </c>
      <c r="D69" s="90">
        <f>IF(Table1[[#This Row],[Current (2025) Value known?]]="No",6,0)</f>
        <v>6</v>
      </c>
      <c r="E69" s="82">
        <f>25</f>
        <v>25</v>
      </c>
      <c r="F69" s="94" t="s">
        <v>269</v>
      </c>
      <c r="G69" s="84">
        <f>IF(Table1[[#This Row],[2026 Value known?]]="No",6,0)</f>
        <v>6</v>
      </c>
      <c r="H69" s="82">
        <v>25</v>
      </c>
      <c r="I69" s="83" t="s">
        <v>269</v>
      </c>
      <c r="J69" s="132">
        <v>6</v>
      </c>
      <c r="K69" s="131">
        <v>25</v>
      </c>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row>
    <row r="70" spans="2:44" ht="13.8">
      <c r="B70" s="89" t="s">
        <v>160</v>
      </c>
      <c r="C70" s="93" t="s">
        <v>267</v>
      </c>
      <c r="D70" s="364">
        <v>0.86</v>
      </c>
      <c r="E70" s="82">
        <f>25</f>
        <v>25</v>
      </c>
      <c r="F70" s="94" t="s">
        <v>267</v>
      </c>
      <c r="G70" s="363">
        <v>0.86</v>
      </c>
      <c r="H70" s="82">
        <v>25</v>
      </c>
      <c r="I70" s="83" t="s">
        <v>267</v>
      </c>
      <c r="J70" s="137">
        <f>0.25*0.9</f>
        <v>0.225</v>
      </c>
      <c r="K70" s="358">
        <f>10*0.9</f>
        <v>9</v>
      </c>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row>
    <row r="71" spans="2:44" ht="13.8">
      <c r="B71" s="89" t="s">
        <v>161</v>
      </c>
      <c r="C71" s="93" t="s">
        <v>269</v>
      </c>
      <c r="D71" s="90">
        <f>IF(Table1[[#This Row],[Current (2025) Value known?]]="No",6,0)</f>
        <v>6</v>
      </c>
      <c r="E71" s="82">
        <f>25</f>
        <v>25</v>
      </c>
      <c r="F71" s="94" t="s">
        <v>269</v>
      </c>
      <c r="G71" s="84">
        <f>IF(Table1[[#This Row],[2026 Value known?]]="No",6,0)</f>
        <v>6</v>
      </c>
      <c r="H71" s="82">
        <v>25</v>
      </c>
      <c r="I71" s="83" t="s">
        <v>269</v>
      </c>
      <c r="J71" s="132">
        <v>6</v>
      </c>
      <c r="K71" s="131">
        <v>25</v>
      </c>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row>
    <row r="72" spans="2:44" ht="13.8">
      <c r="B72" s="89" t="s">
        <v>162</v>
      </c>
      <c r="C72" s="93" t="s">
        <v>269</v>
      </c>
      <c r="D72" s="90">
        <f>IF(Table1[[#This Row],[Current (2025) Value known?]]="No",6,0)</f>
        <v>6</v>
      </c>
      <c r="E72" s="82">
        <f>25</f>
        <v>25</v>
      </c>
      <c r="F72" s="94" t="s">
        <v>269</v>
      </c>
      <c r="G72" s="84">
        <f>IF(Table1[[#This Row],[2026 Value known?]]="No",6,0)</f>
        <v>6</v>
      </c>
      <c r="H72" s="82">
        <v>25</v>
      </c>
      <c r="I72" s="83" t="s">
        <v>269</v>
      </c>
      <c r="J72" s="137">
        <f>2*0.9</f>
        <v>1.8</v>
      </c>
      <c r="K72" s="131">
        <v>25</v>
      </c>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row>
    <row r="73" spans="2:44" ht="13.8">
      <c r="B73" s="89" t="s">
        <v>163</v>
      </c>
      <c r="C73" s="93" t="s">
        <v>269</v>
      </c>
      <c r="D73" s="90">
        <f>IF(Table1[[#This Row],[Current (2025) Value known?]]="No",6,0)</f>
        <v>6</v>
      </c>
      <c r="E73" s="82">
        <f>25</f>
        <v>25</v>
      </c>
      <c r="F73" s="94" t="s">
        <v>269</v>
      </c>
      <c r="G73" s="84">
        <f>IF(Table1[[#This Row],[2026 Value known?]]="No",6,0)</f>
        <v>6</v>
      </c>
      <c r="H73" s="82">
        <v>25</v>
      </c>
      <c r="I73" s="83" t="s">
        <v>269</v>
      </c>
      <c r="J73" s="132">
        <v>6</v>
      </c>
      <c r="K73" s="131">
        <v>25</v>
      </c>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row>
    <row r="74" spans="2:44" ht="13.8">
      <c r="B74" s="89" t="s">
        <v>164</v>
      </c>
      <c r="C74" s="93" t="s">
        <v>269</v>
      </c>
      <c r="D74" s="90">
        <f>IF(Table1[[#This Row],[Current (2025) Value known?]]="No",6,0)</f>
        <v>6</v>
      </c>
      <c r="E74" s="82">
        <f>25</f>
        <v>25</v>
      </c>
      <c r="F74" s="94" t="s">
        <v>269</v>
      </c>
      <c r="G74" s="84">
        <f>IF(Table1[[#This Row],[2026 Value known?]]="No",6,0)</f>
        <v>6</v>
      </c>
      <c r="H74" s="82">
        <v>25</v>
      </c>
      <c r="I74" s="83" t="s">
        <v>269</v>
      </c>
      <c r="J74" s="132">
        <v>6</v>
      </c>
      <c r="K74" s="131">
        <v>25</v>
      </c>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row>
    <row r="75" spans="2:44" ht="13.8">
      <c r="B75" s="89" t="s">
        <v>165</v>
      </c>
      <c r="C75" s="93" t="s">
        <v>267</v>
      </c>
      <c r="D75" s="102">
        <f>2*0.76</f>
        <v>1.52</v>
      </c>
      <c r="E75" s="82">
        <f>25</f>
        <v>25</v>
      </c>
      <c r="F75" s="94" t="s">
        <v>267</v>
      </c>
      <c r="G75" s="103">
        <f>2*0.76</f>
        <v>1.52</v>
      </c>
      <c r="H75" s="82">
        <v>25</v>
      </c>
      <c r="I75" s="83" t="s">
        <v>267</v>
      </c>
      <c r="J75" s="137">
        <f>0.25*0.9</f>
        <v>0.225</v>
      </c>
      <c r="K75" s="131">
        <f>Table1[[#This Row],[Post 2026 TN Discharge level (mg/l)]]</f>
        <v>25</v>
      </c>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row>
    <row r="76" spans="2:44" ht="13.8">
      <c r="B76" s="89" t="s">
        <v>166</v>
      </c>
      <c r="C76" s="93" t="s">
        <v>269</v>
      </c>
      <c r="D76" s="90">
        <f>IF(Table1[[#This Row],[Current (2025) Value known?]]="No",6,0)</f>
        <v>6</v>
      </c>
      <c r="E76" s="82">
        <f>25</f>
        <v>25</v>
      </c>
      <c r="F76" s="94" t="s">
        <v>269</v>
      </c>
      <c r="G76" s="84">
        <f>IF(Table1[[#This Row],[2026 Value known?]]="No",6,0)</f>
        <v>6</v>
      </c>
      <c r="H76" s="82">
        <v>25</v>
      </c>
      <c r="I76" s="83" t="s">
        <v>269</v>
      </c>
      <c r="J76" s="132">
        <v>6</v>
      </c>
      <c r="K76" s="131">
        <v>25</v>
      </c>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row>
    <row r="77" spans="2:44" ht="13.8">
      <c r="B77" s="89" t="s">
        <v>167</v>
      </c>
      <c r="C77" s="93" t="s">
        <v>269</v>
      </c>
      <c r="D77" s="134">
        <v>0.36</v>
      </c>
      <c r="E77" s="82">
        <f>25</f>
        <v>25</v>
      </c>
      <c r="F77" s="94" t="s">
        <v>267</v>
      </c>
      <c r="G77" s="136">
        <f>0.4*0.9</f>
        <v>0.36000000000000004</v>
      </c>
      <c r="H77" s="82">
        <v>25</v>
      </c>
      <c r="I77" s="83" t="s">
        <v>267</v>
      </c>
      <c r="J77" s="137">
        <f>0.25*0.9</f>
        <v>0.225</v>
      </c>
      <c r="K77" s="358">
        <f>10*0.9</f>
        <v>9</v>
      </c>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row>
    <row r="78" spans="2:44" ht="13.8">
      <c r="B78" s="89" t="s">
        <v>168</v>
      </c>
      <c r="C78" s="93" t="s">
        <v>269</v>
      </c>
      <c r="D78" s="90">
        <f>IF(Table1[[#This Row],[Current (2025) Value known?]]="No",6,0)</f>
        <v>6</v>
      </c>
      <c r="E78" s="82">
        <f>25</f>
        <v>25</v>
      </c>
      <c r="F78" s="94" t="s">
        <v>269</v>
      </c>
      <c r="G78" s="84">
        <f>IF(Table1[[#This Row],[2026 Value known?]]="No",6,0)</f>
        <v>6</v>
      </c>
      <c r="H78" s="82">
        <v>25</v>
      </c>
      <c r="I78" s="83" t="s">
        <v>269</v>
      </c>
      <c r="J78" s="132">
        <v>6</v>
      </c>
      <c r="K78" s="131">
        <v>25</v>
      </c>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row>
    <row r="79" spans="2:44" ht="13.8">
      <c r="B79" s="89" t="s">
        <v>531</v>
      </c>
      <c r="C79" s="93" t="s">
        <v>269</v>
      </c>
      <c r="D79" s="90">
        <f>IF(Table1[[#This Row],[Current (2025) Value known?]]="No",6,0)</f>
        <v>6</v>
      </c>
      <c r="E79" s="82">
        <f>25</f>
        <v>25</v>
      </c>
      <c r="F79" s="94" t="s">
        <v>269</v>
      </c>
      <c r="G79" s="84">
        <f>IF(Table1[[#This Row],[2026 Value known?]]="No",6,0)</f>
        <v>6</v>
      </c>
      <c r="H79" s="82">
        <v>25</v>
      </c>
      <c r="I79" s="83" t="s">
        <v>269</v>
      </c>
      <c r="J79" s="132">
        <v>6</v>
      </c>
      <c r="K79" s="131">
        <v>25</v>
      </c>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row>
    <row r="80" spans="2:44" ht="13.8">
      <c r="B80" s="89" t="s">
        <v>169</v>
      </c>
      <c r="C80" s="93" t="s">
        <v>269</v>
      </c>
      <c r="D80" s="90">
        <f>IF(Table1[[#This Row],[Current (2025) Value known?]]="No",6,0)</f>
        <v>6</v>
      </c>
      <c r="E80" s="82">
        <f>25</f>
        <v>25</v>
      </c>
      <c r="F80" s="94" t="s">
        <v>269</v>
      </c>
      <c r="G80" s="84">
        <f>IF(Table1[[#This Row],[2026 Value known?]]="No",6,0)</f>
        <v>6</v>
      </c>
      <c r="H80" s="82">
        <v>25</v>
      </c>
      <c r="I80" s="83" t="s">
        <v>269</v>
      </c>
      <c r="J80" s="132">
        <v>6</v>
      </c>
      <c r="K80" s="131">
        <v>25</v>
      </c>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row>
    <row r="81" spans="2:44" ht="13.8">
      <c r="B81" s="89" t="s">
        <v>170</v>
      </c>
      <c r="C81" s="93" t="s">
        <v>269</v>
      </c>
      <c r="D81" s="90">
        <f>IF(Table1[[#This Row],[Current (2025) Value known?]]="No",6,0)</f>
        <v>6</v>
      </c>
      <c r="E81" s="82">
        <f>25</f>
        <v>25</v>
      </c>
      <c r="F81" s="94" t="s">
        <v>269</v>
      </c>
      <c r="G81" s="84">
        <f>IF(Table1[[#This Row],[2026 Value known?]]="No",6,0)</f>
        <v>6</v>
      </c>
      <c r="H81" s="82">
        <v>25</v>
      </c>
      <c r="I81" s="83" t="s">
        <v>269</v>
      </c>
      <c r="J81" s="132">
        <v>6</v>
      </c>
      <c r="K81" s="131">
        <v>25</v>
      </c>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row>
    <row r="82" spans="2:44" ht="13.8">
      <c r="B82" s="356" t="s">
        <v>171</v>
      </c>
      <c r="C82" s="93" t="s">
        <v>269</v>
      </c>
      <c r="D82" s="90">
        <f>IF(Table1[[#This Row],[Current (2025) Value known?]]="No",6,0)</f>
        <v>6</v>
      </c>
      <c r="E82" s="82">
        <f>25</f>
        <v>25</v>
      </c>
      <c r="F82" s="94" t="s">
        <v>269</v>
      </c>
      <c r="G82" s="84">
        <f>IF(Table1[[#This Row],[2026 Value known?]]="No",6,0)</f>
        <v>6</v>
      </c>
      <c r="H82" s="82">
        <v>25</v>
      </c>
      <c r="I82" s="83" t="s">
        <v>269</v>
      </c>
      <c r="J82" s="132">
        <v>6</v>
      </c>
      <c r="K82" s="131">
        <v>25</v>
      </c>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row>
    <row r="83" spans="2:44" ht="13.8">
      <c r="B83" s="89" t="s">
        <v>172</v>
      </c>
      <c r="C83" s="93" t="s">
        <v>269</v>
      </c>
      <c r="D83" s="90">
        <f>IF(Table1[[#This Row],[Current (2025) Value known?]]="No",6,0)</f>
        <v>6</v>
      </c>
      <c r="E83" s="82">
        <f>25</f>
        <v>25</v>
      </c>
      <c r="F83" s="94" t="s">
        <v>269</v>
      </c>
      <c r="G83" s="84">
        <f>IF(Table1[[#This Row],[2026 Value known?]]="No",6,0)</f>
        <v>6</v>
      </c>
      <c r="H83" s="82">
        <v>25</v>
      </c>
      <c r="I83" s="83" t="s">
        <v>269</v>
      </c>
      <c r="J83" s="132">
        <v>6</v>
      </c>
      <c r="K83" s="131">
        <v>25</v>
      </c>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row>
    <row r="84" spans="2:44" ht="13.8">
      <c r="B84" s="89" t="s">
        <v>173</v>
      </c>
      <c r="C84" s="93" t="s">
        <v>269</v>
      </c>
      <c r="D84" s="90">
        <f>IF(Table1[[#This Row],[Current (2025) Value known?]]="No",6,0)</f>
        <v>6</v>
      </c>
      <c r="E84" s="82">
        <f>25</f>
        <v>25</v>
      </c>
      <c r="F84" s="94" t="s">
        <v>269</v>
      </c>
      <c r="G84" s="84">
        <f>IF(Table1[[#This Row],[2026 Value known?]]="No",6,0)</f>
        <v>6</v>
      </c>
      <c r="H84" s="82">
        <v>25</v>
      </c>
      <c r="I84" s="83" t="s">
        <v>269</v>
      </c>
      <c r="J84" s="132">
        <v>6</v>
      </c>
      <c r="K84" s="131">
        <v>25</v>
      </c>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row>
    <row r="85" spans="2:44" ht="13.8">
      <c r="B85" s="89" t="s">
        <v>174</v>
      </c>
      <c r="C85" s="93" t="s">
        <v>267</v>
      </c>
      <c r="D85" s="134">
        <f>1*0.9</f>
        <v>0.9</v>
      </c>
      <c r="E85" s="82">
        <f>25</f>
        <v>25</v>
      </c>
      <c r="F85" s="94" t="s">
        <v>267</v>
      </c>
      <c r="G85" s="136">
        <f>1*0.9</f>
        <v>0.9</v>
      </c>
      <c r="H85" s="82">
        <v>25</v>
      </c>
      <c r="I85" s="83" t="s">
        <v>267</v>
      </c>
      <c r="J85" s="137">
        <f>0.25*0.9</f>
        <v>0.225</v>
      </c>
      <c r="K85" s="358">
        <f>10*0.9</f>
        <v>9</v>
      </c>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row>
    <row r="86" spans="2:44" ht="13.8">
      <c r="B86" s="145" t="s">
        <v>175</v>
      </c>
      <c r="C86" s="146" t="s">
        <v>267</v>
      </c>
      <c r="D86" s="365">
        <v>0.61</v>
      </c>
      <c r="E86" s="143">
        <f>25</f>
        <v>25</v>
      </c>
      <c r="F86" s="104" t="s">
        <v>267</v>
      </c>
      <c r="G86" s="137">
        <f>0.25*0.9</f>
        <v>0.225</v>
      </c>
      <c r="H86" s="143">
        <v>25</v>
      </c>
      <c r="I86" s="144" t="s">
        <v>267</v>
      </c>
      <c r="J86" s="137">
        <f>0.25*0.9</f>
        <v>0.225</v>
      </c>
      <c r="K86" s="359">
        <v>9</v>
      </c>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row>
    <row r="87" spans="2:44" ht="13.8">
      <c r="B87" s="133"/>
      <c r="C87" s="40"/>
      <c r="D87" s="333"/>
      <c r="E87" s="334"/>
      <c r="F87" s="106"/>
      <c r="G87" s="335"/>
      <c r="H87" s="334"/>
      <c r="I87" s="336"/>
      <c r="J87" s="335"/>
      <c r="K87" s="335"/>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row>
    <row r="88" spans="2:44" ht="13.8">
      <c r="B88" s="133"/>
      <c r="C88" s="337"/>
      <c r="D88" s="333" t="s">
        <v>532</v>
      </c>
      <c r="E88" s="334"/>
      <c r="F88" s="106"/>
      <c r="G88" s="335"/>
      <c r="H88" s="334"/>
      <c r="I88" s="336"/>
      <c r="J88" s="335"/>
      <c r="K88" s="335"/>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row>
    <row r="89" spans="2:42" ht="41.4">
      <c r="B89" s="133"/>
      <c r="C89" s="338"/>
      <c r="D89" s="339" t="s">
        <v>533</v>
      </c>
      <c r="E89" s="105"/>
      <c r="F89" s="106"/>
      <c r="G89" s="106"/>
      <c r="H89" s="106"/>
      <c r="I89" s="107"/>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row>
    <row r="90" spans="2:42" ht="27.6">
      <c r="B90" s="133"/>
      <c r="C90" s="361"/>
      <c r="D90" s="339" t="s">
        <v>534</v>
      </c>
      <c r="E90" s="105"/>
      <c r="F90" s="106"/>
      <c r="G90" s="106"/>
      <c r="H90" s="106"/>
      <c r="I90" s="107"/>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row>
    <row r="91" spans="2:42" ht="13.8">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row>
    <row r="92" spans="2:42" ht="13.8">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row>
    <row r="93" spans="2:42" ht="13.8">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row>
    <row r="94" spans="2:42" ht="13.8">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row>
    <row r="95" spans="2:42" ht="13.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row>
    <row r="96" spans="2:42" ht="13.8">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row>
    <row r="97" spans="2:42" ht="13.8">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row>
    <row r="98" spans="2:42" ht="13.8">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row>
    <row r="99" spans="2:42" ht="13.8">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row>
    <row r="100" spans="2:42" ht="13.8">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row>
    <row r="101" spans="2:42" ht="13.8">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row>
    <row r="102" spans="2:42" ht="13.8">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row>
    <row r="103" spans="2:42" ht="13.8">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row>
    <row r="104" spans="2:42" ht="13.8">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row>
    <row r="105" spans="2:42" ht="13.8">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row>
    <row r="106" spans="2:42" ht="13.8">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row>
    <row r="107" spans="2:42" ht="13.8">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row>
    <row r="108" spans="2:42" ht="13.8">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row>
    <row r="109" spans="2:42" ht="13.8">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row>
    <row r="110" spans="2:42" ht="13.8">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row>
    <row r="111" spans="2:42" ht="13.8">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row>
    <row r="112" spans="2:42" ht="13.8">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row>
    <row r="113" spans="2:42" ht="13.8">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row>
    <row r="114" spans="2:42" ht="13.8">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row>
    <row r="115" spans="2:42" ht="13.8">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row>
    <row r="116" spans="2:42" ht="13.8">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row>
    <row r="117" spans="2:42" ht="13.8">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row>
    <row r="118" spans="2:42" ht="13.8">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row>
    <row r="119" spans="2:42" ht="13.8">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row>
    <row r="120" spans="2:42" ht="13.8">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row>
    <row r="121" spans="2:42" ht="13.8">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row>
    <row r="122" spans="2:42" ht="13.8">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row>
    <row r="123" spans="2:42" ht="13.8">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row>
    <row r="124" spans="2:42" ht="13.8">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row>
    <row r="125" spans="2:42" ht="13.8">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row>
    <row r="126" spans="2:42" ht="13.8">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row>
    <row r="127" spans="2:42" ht="13.8">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row>
    <row r="128" spans="2:42" ht="13.8">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row>
    <row r="129" spans="2:42" ht="13.8">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row>
    <row r="130" spans="2:42" ht="13.8">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row>
    <row r="131" spans="2:42" ht="13.8">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row>
    <row r="132" spans="2:42" ht="13.8">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row>
    <row r="133" spans="2:42" ht="13.8">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row>
    <row r="134" spans="2:42" ht="13.8">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row>
    <row r="135" spans="2:42" ht="13.8">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row>
    <row r="136" spans="2:42" ht="13.8">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row>
    <row r="137" spans="2:42" ht="13.8">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row>
    <row r="138" spans="2:42" ht="13.8">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row>
    <row r="139" spans="2:42" ht="13.8">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2:42" ht="13.8">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row>
    <row r="141" spans="2:42" ht="13.8">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row>
    <row r="142" spans="2:42" ht="13.8">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row>
    <row r="143" spans="2:42" ht="13.8">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row>
    <row r="144" spans="2:42" ht="13.8">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row>
    <row r="145" spans="2:42" ht="13.8">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row>
    <row r="146" spans="2:42" ht="13.8">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row>
    <row r="147" spans="2:42" ht="13.8">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row>
    <row r="148" spans="2:42" ht="13.8">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row>
    <row r="149" spans="2:42" ht="13.8">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row>
    <row r="150" spans="2:42" ht="13.8">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row>
    <row r="151" spans="2:42" ht="13.8">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row>
    <row r="152" spans="2:42" ht="13.8">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row>
    <row r="153" spans="2:42" ht="13.8">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row>
    <row r="154" spans="2:42" ht="13.8">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row>
    <row r="155" spans="2:42" ht="13.8">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row>
    <row r="156" spans="2:42" ht="13.8">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row>
    <row r="157" spans="2:42" ht="13.8">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row>
    <row r="158" spans="2:42" ht="13.8">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row>
    <row r="159" spans="2:42" ht="13.8">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row>
    <row r="160" spans="2:42" ht="13.8">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row>
    <row r="161" spans="2:42" ht="13.8">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row>
    <row r="162" spans="2:42" ht="13.8">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row>
    <row r="163" spans="2:42" ht="13.8">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row>
    <row r="164" spans="2:42" ht="13.8">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row>
    <row r="165" spans="2:42" ht="13.8">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row>
    <row r="166" spans="2:42" ht="13.8">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row>
    <row r="167" spans="2:42" ht="13.8">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row>
    <row r="168" spans="2:42" ht="13.8">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row>
    <row r="169" spans="2:42" ht="13.8">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row>
    <row r="170" spans="2:42" ht="13.8">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row>
    <row r="171" spans="2:42" ht="13.8">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row>
    <row r="172" spans="2:42" ht="13.8">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row>
    <row r="173" spans="2:42" ht="13.8">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row>
    <row r="174" spans="2:42" ht="13.8">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row>
    <row r="175" spans="2:42" ht="13.8">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row>
    <row r="176" spans="2:42" ht="13.8">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row>
    <row r="177" spans="2:42" ht="13.8">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row>
    <row r="178" spans="2:42" ht="13.8">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row>
    <row r="179" spans="2:42" ht="13.8">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row>
    <row r="180" spans="2:42" ht="13.8">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row>
    <row r="181" spans="2:42" ht="13.8">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row>
    <row r="182" spans="2:42" ht="13.8">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row>
    <row r="183" spans="2:42" ht="13.8">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row>
    <row r="184" spans="2:42" ht="13.8">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row>
    <row r="185" spans="2:42" ht="13.8">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row>
    <row r="186" spans="2:42" ht="13.8">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row>
    <row r="187" spans="2:42" ht="13.8">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row>
    <row r="188" spans="2:42" ht="13.8">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row>
    <row r="189" spans="2:42" ht="13.8">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row>
    <row r="190" spans="2:42" ht="13.8">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row>
    <row r="191" spans="2:42" ht="13.8">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row>
    <row r="192" spans="2:42" ht="13.8">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row>
    <row r="193" spans="2:42" ht="13.8">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row>
    <row r="194" spans="2:42" ht="13.8">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row>
    <row r="195" spans="2:42" ht="13.8">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row>
    <row r="196" spans="2:42" ht="13.8">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row>
    <row r="197" spans="2:42" ht="13.8">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row>
    <row r="198" spans="2:42" ht="13.8">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row>
    <row r="199" spans="2:42" ht="13.8">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row>
    <row r="200" spans="2:42" ht="13.8">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row>
    <row r="201" spans="2:42" ht="13.8">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row>
    <row r="202" spans="2:42" ht="13.8">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row>
    <row r="203" spans="2:42" ht="13.8">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row>
    <row r="204" spans="2:42" ht="13.8">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row>
    <row r="205" spans="2:42" ht="13.8">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row>
    <row r="206" spans="2:42" ht="13.8">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row>
    <row r="207" spans="2:42" ht="13.8">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row>
    <row r="208" spans="2:42" ht="13.8">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row>
    <row r="209" spans="2:42" ht="13.8">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row>
    <row r="210" spans="2:42" ht="13.8">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row>
    <row r="211" spans="2:42" ht="13.8">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row>
    <row r="212" spans="2:42" ht="13.8">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row>
    <row r="213" spans="2:42" ht="13.8">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row>
    <row r="214" spans="2:42" ht="13.8">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row>
    <row r="215" spans="2:42" ht="13.8">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row>
    <row r="216" spans="2:42" ht="13.8">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row>
    <row r="217" spans="2:42" ht="13.8">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row>
    <row r="218" spans="2:42" ht="13.8">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row>
    <row r="219" spans="2:42" ht="13.8">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row>
    <row r="220" spans="2:42" ht="13.8">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row>
    <row r="221" spans="2:42" ht="13.8">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row>
    <row r="222" spans="2:42" ht="13.8">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row>
    <row r="223" spans="2:42" ht="13.8">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row>
    <row r="224" spans="2:42" ht="13.8">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row>
    <row r="225" spans="2:42" ht="13.8">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row>
    <row r="226" spans="2:42" ht="13.8">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row>
    <row r="227" spans="2:42" ht="13.8">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row>
    <row r="228" spans="2:42" ht="13.8">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row>
    <row r="229" spans="2:42" ht="13.8">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row>
    <row r="230" spans="2:42" ht="13.8">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row>
    <row r="231" spans="2:42" ht="13.8">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row>
    <row r="232" spans="2:42" ht="13.8">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row>
    <row r="233" spans="2:42" ht="13.8">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row>
    <row r="234" spans="2:42" ht="13.8">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row>
    <row r="235" spans="2:42" ht="13.8">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row>
    <row r="236" spans="2:42" ht="13.8">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row>
    <row r="237" spans="2:42" ht="13.8">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row>
    <row r="238" spans="2:42" ht="13.8">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row>
    <row r="239" spans="2:42" ht="13.8">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row>
    <row r="240" spans="2:42" ht="13.8">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row>
    <row r="241" spans="2:42" ht="13.8">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row>
    <row r="242" spans="2:42" ht="13.8">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row>
    <row r="243" spans="2:42" ht="13.8">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row>
    <row r="244" spans="2:42" ht="13.8">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row>
    <row r="245" spans="2:42" ht="13.8">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row>
    <row r="246" spans="2:42" ht="13.8">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row>
    <row r="247" spans="2:42" ht="13.8">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row>
    <row r="248" spans="2:42" ht="13.8">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row>
    <row r="249" spans="2:42" ht="13.8">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row>
    <row r="250" spans="2:42" ht="13.8">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row>
    <row r="251" spans="2:42" ht="13.8">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row>
    <row r="252" spans="2:42" ht="13.8">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row>
    <row r="253" spans="2:42" ht="13.8">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row>
    <row r="254" spans="2:42" ht="13.8">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row>
    <row r="255" spans="2:42" ht="13.8">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row>
    <row r="256" spans="2:42" ht="13.8">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row>
    <row r="257" spans="2:42" ht="13.8">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row>
    <row r="258" spans="2:42" ht="13.8">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row>
    <row r="259" spans="2:42" ht="13.8">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row>
    <row r="260" spans="2:42" ht="13.8">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row>
    <row r="261" spans="2:42" ht="13.8">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row>
    <row r="262" spans="2:42" ht="13.8">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row>
    <row r="263" spans="2:42" ht="13.8">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row>
    <row r="264" spans="2:42" ht="13.8">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row>
    <row r="265" spans="2:42" ht="13.8">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row>
    <row r="266" spans="2:42" ht="13.8">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row>
    <row r="267" spans="2:42" ht="13.8">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row>
    <row r="268" spans="2:42" ht="13.8">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row>
    <row r="269" spans="2:42" ht="13.8">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row>
    <row r="270" spans="2:42" ht="13.8">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row>
    <row r="271" spans="2:42" ht="13.8">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row>
    <row r="272" spans="2:42" ht="13.8">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row>
    <row r="273" spans="2:42" ht="13.8">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row>
    <row r="274" spans="2:42" ht="13.8">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row>
    <row r="275" spans="2:42" ht="13.8">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row>
    <row r="276" spans="2:42" ht="13.8">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row>
    <row r="277" spans="2:42" ht="13.8">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row>
    <row r="278" spans="2:42" ht="13.8">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row>
    <row r="279" spans="2:42" ht="13.8">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row>
    <row r="280" spans="2:42" ht="13.8">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row>
    <row r="281" spans="2:42" ht="13.8">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row>
    <row r="282" spans="2:42" ht="13.8">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row>
    <row r="283" spans="2:42" ht="13.8">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row>
    <row r="284" spans="2:42" ht="13.8">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row>
    <row r="285" spans="2:42" ht="13.8">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row>
    <row r="286" spans="2:42" ht="13.8">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row>
    <row r="287" spans="2:42" ht="13.8">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row>
    <row r="288" spans="2:42" ht="13.8">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row>
    <row r="289" spans="2:42" ht="13.8">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row>
    <row r="290" spans="2:42" ht="13.8">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row>
    <row r="291" spans="2:42" ht="13.8">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row>
    <row r="292" spans="2:42" ht="13.8">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row>
    <row r="293" spans="2:42" ht="13.8">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row>
    <row r="294" spans="2:42" ht="13.8">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row>
    <row r="295" spans="2:42" ht="13.8">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row>
    <row r="296" spans="2:42" ht="13.8">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row>
    <row r="297" spans="2:42" ht="13.8">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row>
    <row r="298" spans="2:42" ht="13.8">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row>
    <row r="299" spans="2:42" ht="13.8">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row>
    <row r="300" spans="2:42" ht="13.8">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row>
    <row r="301" spans="2:42" ht="13.8">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row>
    <row r="302" spans="2:42" ht="13.8">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row>
    <row r="303" spans="2:42" ht="13.8">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row>
    <row r="304" spans="2:42" ht="13.8">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row>
    <row r="305" spans="2:42" ht="13.8">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row>
    <row r="306" spans="2:42" ht="13.8">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row>
    <row r="307" spans="2:42" ht="13.8">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row>
    <row r="308" spans="2:42" ht="13.8">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row>
    <row r="309" spans="2:42" ht="13.8">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row>
    <row r="310" spans="2:42" ht="13.8">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row>
    <row r="311" spans="2:42" ht="13.8">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row>
    <row r="312" spans="2:42" ht="13.8">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row>
    <row r="313" spans="2:42" ht="13.8">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row>
    <row r="314" spans="2:42" ht="13.8">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row>
    <row r="315" spans="2:42" ht="13.8">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row>
    <row r="316" spans="2:42" ht="13.8">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row>
    <row r="317" spans="2:42" ht="13.8">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row>
    <row r="318" spans="2:42" ht="13.8">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row>
    <row r="319" spans="2:42" ht="13.8">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row>
    <row r="320" spans="2:42" ht="13.8">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row>
    <row r="321" spans="2:42" ht="13.8">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row>
    <row r="322" spans="2:42" ht="13.8">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row>
    <row r="323" spans="2:42" ht="13.8">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row>
    <row r="324" spans="2:42" ht="13.8">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row>
    <row r="325" spans="2:42" ht="13.8">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row>
    <row r="326" spans="2:42" ht="13.8">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row>
    <row r="327" spans="2:42" ht="13.8">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row>
    <row r="328" spans="2:42" ht="13.8">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row>
    <row r="329" spans="2:42" ht="13.8">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row>
    <row r="330" spans="2:42" ht="13.8">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row>
    <row r="331" spans="2:42" ht="13.8">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row>
    <row r="332" spans="2:42" ht="13.8">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row>
    <row r="333" spans="2:42" ht="13.8">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row>
    <row r="334" spans="2:42" ht="13.8">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row>
    <row r="335" spans="2:42" ht="13.8">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row>
    <row r="336" spans="2:42" ht="13.8">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row>
    <row r="337" spans="2:42" ht="13.8">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row>
    <row r="338" spans="2:42" ht="13.8">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row>
    <row r="339" spans="2:42" ht="13.8">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row>
    <row r="340" spans="2:42" ht="13.8">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row>
    <row r="341" spans="2:42" ht="13.8">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row>
    <row r="342" spans="2:42" ht="13.8">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row>
    <row r="343" spans="2:42" ht="13.8">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row>
    <row r="344" spans="2:42" ht="13.8">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row>
    <row r="345" spans="2:42" ht="13.8">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row>
    <row r="346" spans="2:42" ht="13.8">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row>
    <row r="347" spans="2:42" ht="13.8">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row>
    <row r="348" spans="2:42" ht="13.8">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row>
    <row r="349" spans="2:42" ht="13.8">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row>
    <row r="350" spans="2:42" ht="13.8">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row>
    <row r="351" spans="2:42" ht="13.8">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row>
    <row r="352" spans="2:42" ht="13.8">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row>
    <row r="353" spans="2:42" ht="13.8">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row>
    <row r="354" spans="2:42" ht="13.8">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row>
    <row r="355" spans="2:42" ht="13.8">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row>
    <row r="356" spans="2:42" ht="13.8">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row>
    <row r="357" spans="2:42" ht="13.8">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row>
    <row r="358" spans="2:42" ht="13.8">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row>
    <row r="359" spans="2:42" ht="13.8">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row>
    <row r="360" spans="2:42" ht="13.8">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row>
    <row r="361" spans="2:42" ht="13.8">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row>
    <row r="362" spans="2:42" ht="13.8">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row>
    <row r="363" spans="2:42" ht="13.8">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row>
    <row r="364" spans="2:42" ht="13.8">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row>
    <row r="365" spans="2:42" ht="13.8">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row>
    <row r="366" spans="2:42" ht="13.8">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row>
    <row r="367" spans="2:42" ht="13.8">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row>
    <row r="368" spans="2:42" ht="13.8">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row>
    <row r="369" spans="2:42" ht="13.8">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row>
    <row r="370" spans="2:42" ht="13.8">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row>
    <row r="371" spans="2:42" ht="13.8">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row>
    <row r="372" spans="2:42" ht="13.8">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row>
    <row r="373" spans="2:42" ht="13.8">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row>
    <row r="374" spans="2:42" ht="13.8">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row>
    <row r="375" spans="2:42" ht="13.8">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row>
    <row r="376" spans="2:42" ht="13.8">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row>
    <row r="377" spans="2:42" ht="13.8">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row>
    <row r="378" spans="2:42" ht="13.8">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row>
    <row r="379" spans="2:42" ht="13.8">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row>
    <row r="380" spans="2:42" ht="13.8">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row>
    <row r="381" spans="2:42" ht="13.8">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row>
    <row r="382" spans="2:42" ht="13.8">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row>
    <row r="383" spans="2:42" ht="13.8">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row>
    <row r="384" spans="2:42" ht="13.8">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row>
    <row r="385" spans="2:42" ht="13.8">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row>
    <row r="386" spans="2:42" ht="13.8">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row>
    <row r="387" spans="2:42" ht="13.8">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row>
    <row r="388" spans="2:42" ht="13.8">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row>
    <row r="389" spans="2:42" ht="13.8">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row>
    <row r="390" spans="2:42" ht="13.8">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row>
    <row r="391" spans="2:42" ht="13.8">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row>
    <row r="392" spans="2:42" ht="13.8">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row>
    <row r="393" spans="2:42" ht="13.8">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row>
    <row r="394" spans="2:42" ht="13.8">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row>
    <row r="395" spans="2:42" ht="13.8">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row>
    <row r="396" spans="2:42" ht="13.8">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row>
    <row r="397" spans="2:42" ht="13.8">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row>
    <row r="398" spans="2:42" ht="13.8">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row>
    <row r="399" spans="2:42" ht="13.8">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row>
    <row r="400" spans="2:42" ht="13.8">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row>
    <row r="401" spans="2:42" ht="13.8">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row>
    <row r="402" spans="2:42" ht="13.8">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row>
    <row r="403" spans="2:42" ht="13.8">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row>
    <row r="404" spans="2:42" ht="13.8">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row>
    <row r="405" spans="2:42" ht="13.8">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row>
    <row r="406" spans="2:42" ht="13.8">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row>
    <row r="407" spans="2:42" ht="13.8">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row>
    <row r="408" spans="2:42" ht="13.8">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row>
    <row r="409" spans="2:42" ht="13.8">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row>
    <row r="410" spans="2:42" ht="13.8">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row>
    <row r="411" spans="2:42" ht="13.8">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row>
    <row r="412" spans="2:42" ht="13.8">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row>
    <row r="413" spans="2:42" ht="13.8">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row>
    <row r="414" spans="2:42" ht="13.8">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row>
    <row r="415" spans="2:42" ht="13.8">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row>
    <row r="416" spans="2:42" ht="13.8">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row>
    <row r="417" spans="2:42" ht="13.8">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row>
    <row r="418" spans="2:42" ht="13.8">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row>
    <row r="419" spans="2:42" ht="13.8">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row>
    <row r="420" spans="2:42" ht="13.8">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row>
    <row r="421" spans="2:42" ht="13.8">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row>
    <row r="422" spans="2:42" ht="13.8">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row>
    <row r="423" spans="2:42" ht="13.8">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row>
    <row r="424" spans="2:42" ht="13.8">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row>
    <row r="425" spans="2:42" ht="13.8">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row>
    <row r="426" spans="2:42" ht="13.8">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row>
    <row r="427" spans="2:42" ht="13.8">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row>
    <row r="428" spans="2:42" ht="13.8">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row>
    <row r="429" spans="2:42" ht="13.8">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row>
    <row r="430" spans="2:42" ht="13.8">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row>
    <row r="431" spans="2:42" ht="13.8">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row>
    <row r="432" spans="2:42" ht="13.8">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row>
    <row r="433" spans="2:42" ht="13.8">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row>
    <row r="434" spans="2:42" ht="13.8">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row>
    <row r="435" spans="2:42" ht="13.8">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row>
    <row r="436" spans="2:42" ht="13.8">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row>
    <row r="437" spans="2:42" ht="13.8">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row>
    <row r="438" spans="2:42" ht="13.8">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row>
    <row r="439" spans="2:42" ht="13.8">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row>
    <row r="440" spans="2:42" ht="13.8">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row>
    <row r="441" spans="2:42" ht="13.8">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row>
    <row r="442" spans="2:42" ht="13.8">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row>
    <row r="443" spans="2:42" ht="13.8">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row>
    <row r="444" spans="2:42" ht="13.8">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row>
    <row r="445" spans="2:42" ht="13.8">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row>
    <row r="446" spans="2:42" ht="13.8">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row>
    <row r="447" spans="2:42" ht="13.8">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row>
    <row r="448" spans="2:42" ht="13.8">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row>
    <row r="449" spans="2:42" ht="13.8">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row>
    <row r="450" spans="2:42" ht="13.8">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row>
    <row r="451" spans="2:42" ht="13.8">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row>
    <row r="452" spans="2:42" ht="13.8">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row>
    <row r="453" spans="2:42" ht="13.8">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row>
    <row r="454" spans="2:42" ht="13.8">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row>
    <row r="455" spans="2:42" ht="13.8">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row>
    <row r="456" spans="2:42" ht="13.8">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row>
    <row r="457" spans="2:42" ht="13.8">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row>
    <row r="458" spans="2:42" ht="13.8">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row>
    <row r="459" spans="2:42" ht="13.8">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row>
    <row r="460" spans="2:42" ht="13.8">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row>
    <row r="461" spans="2:42" ht="13.8">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row>
    <row r="462" spans="2:42" ht="13.8">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row>
    <row r="463" spans="2:42" ht="13.8">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row>
    <row r="464" spans="2:42" ht="13.8">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row>
    <row r="465" spans="2:42" ht="13.8">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row>
    <row r="466" spans="2:42" ht="13.8">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row>
    <row r="467" spans="2:42" ht="13.8">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row>
    <row r="468" spans="2:42" ht="13.8">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row>
    <row r="469" spans="2:42" ht="13.8">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row>
    <row r="470" spans="2:42" ht="13.8">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row>
    <row r="471" spans="2:42" ht="13.8">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row>
    <row r="472" spans="2:42" ht="13.8">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row>
    <row r="473" spans="2:42" ht="13.8">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row>
    <row r="474" spans="2:42" ht="13.8">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row>
    <row r="475" spans="2:42" ht="13.8">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row>
    <row r="476" spans="2:42" ht="13.8">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row>
    <row r="477" spans="2:42" ht="13.8">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row>
    <row r="478" spans="2:42" ht="13.8">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row>
    <row r="479" spans="2:42" ht="13.8">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row>
    <row r="480" spans="2:42" ht="13.8">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row>
    <row r="481" spans="2:42" ht="13.8">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row>
    <row r="482" spans="2:42" ht="13.8">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row>
    <row r="483" spans="2:42" ht="13.8">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row>
    <row r="484" spans="2:42" ht="13.8">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row>
    <row r="485" spans="2:42" ht="13.8">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row>
    <row r="486" spans="2:42" ht="13.8">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row>
    <row r="487" spans="2:42" ht="13.8">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row>
    <row r="488" spans="2:42" ht="13.8">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row>
    <row r="489" spans="2:42" ht="13.8">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row>
    <row r="490" spans="2:42" ht="13.8">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row>
    <row r="491" spans="2:42" ht="13.8">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row>
    <row r="492" spans="2:42" ht="13.8">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row>
    <row r="493" spans="2:42" ht="13.8">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row>
    <row r="494" spans="2:42" ht="13.8">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row>
    <row r="495" spans="2:42" ht="13.8">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row>
    <row r="496" spans="2:42" ht="13.8">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row>
    <row r="497" spans="2:42" ht="13.8">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row>
    <row r="498" spans="2:42" ht="13.8">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row>
    <row r="499" spans="2:42" ht="13.8">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row>
    <row r="500" spans="2:42" ht="13.8">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row>
    <row r="501" spans="2:42" ht="13.8">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row>
    <row r="502" spans="2:42" ht="13.8">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row>
    <row r="503" spans="2:42" ht="13.8">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c r="AP503" s="40"/>
    </row>
    <row r="504" spans="2:42" ht="13.8">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c r="AP504" s="40"/>
    </row>
    <row r="505" spans="2:42" ht="13.8">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c r="AN505" s="40"/>
      <c r="AO505" s="40"/>
      <c r="AP505" s="40"/>
    </row>
    <row r="506" spans="2:42" ht="13.8">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c r="AN506" s="40"/>
      <c r="AO506" s="40"/>
      <c r="AP506" s="40"/>
    </row>
    <row r="507" spans="2:42" ht="13.8">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c r="AN507" s="40"/>
      <c r="AO507" s="40"/>
      <c r="AP507" s="40"/>
    </row>
    <row r="508" spans="2:42" ht="13.8">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c r="AN508" s="40"/>
      <c r="AO508" s="40"/>
      <c r="AP508" s="40"/>
    </row>
    <row r="509" spans="2:42" ht="13.8">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40"/>
      <c r="AN509" s="40"/>
      <c r="AO509" s="40"/>
      <c r="AP509" s="40"/>
    </row>
    <row r="510" spans="2:42" ht="13.8">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40"/>
      <c r="AN510" s="40"/>
      <c r="AO510" s="40"/>
      <c r="AP510" s="40"/>
    </row>
    <row r="511" spans="2:42" ht="13.8">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c r="AN511" s="40"/>
      <c r="AO511" s="40"/>
      <c r="AP511" s="40"/>
    </row>
    <row r="512" spans="2:42" ht="13.8">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40"/>
      <c r="AN512" s="40"/>
      <c r="AO512" s="40"/>
      <c r="AP512" s="40"/>
    </row>
    <row r="513" spans="2:42" ht="13.8">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c r="AN513" s="40"/>
      <c r="AO513" s="40"/>
      <c r="AP513" s="40"/>
    </row>
    <row r="514" spans="2:42" ht="13.8">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40"/>
      <c r="AN514" s="40"/>
      <c r="AO514" s="40"/>
      <c r="AP514" s="40"/>
    </row>
    <row r="515" spans="2:42" ht="13.8">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40"/>
      <c r="AN515" s="40"/>
      <c r="AO515" s="40"/>
      <c r="AP515" s="40"/>
    </row>
    <row r="516" spans="2:42" ht="13.8">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40"/>
      <c r="AN516" s="40"/>
      <c r="AO516" s="40"/>
      <c r="AP516" s="40"/>
    </row>
    <row r="517" spans="2:42" ht="13.8">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40"/>
      <c r="AN517" s="40"/>
      <c r="AO517" s="40"/>
      <c r="AP517" s="40"/>
    </row>
    <row r="518" spans="2:42" ht="13.8">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c r="AN518" s="40"/>
      <c r="AO518" s="40"/>
      <c r="AP518" s="40"/>
    </row>
    <row r="519" spans="2:42" ht="13.8">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40"/>
      <c r="AN519" s="40"/>
      <c r="AO519" s="40"/>
      <c r="AP519" s="40"/>
    </row>
    <row r="520" spans="2:42" ht="13.8">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40"/>
      <c r="AN520" s="40"/>
      <c r="AO520" s="40"/>
      <c r="AP520" s="40"/>
    </row>
    <row r="521" spans="2:42" ht="13.8">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40"/>
      <c r="AN521" s="40"/>
      <c r="AO521" s="40"/>
      <c r="AP521" s="40"/>
    </row>
    <row r="522" spans="2:42" ht="13.8">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40"/>
      <c r="AN522" s="40"/>
      <c r="AO522" s="40"/>
      <c r="AP522" s="40"/>
    </row>
    <row r="523" spans="2:42" ht="13.8">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40"/>
      <c r="AN523" s="40"/>
      <c r="AO523" s="40"/>
      <c r="AP523" s="40"/>
    </row>
    <row r="524" spans="2:42" ht="13.8">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40"/>
      <c r="AN524" s="40"/>
      <c r="AO524" s="40"/>
      <c r="AP524" s="40"/>
    </row>
    <row r="525" spans="2:42" ht="13.8">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40"/>
      <c r="AN525" s="40"/>
      <c r="AO525" s="40"/>
      <c r="AP525" s="40"/>
    </row>
    <row r="526" spans="2:42" ht="13.8">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40"/>
      <c r="AN526" s="40"/>
      <c r="AO526" s="40"/>
      <c r="AP526" s="40"/>
    </row>
    <row r="527" spans="2:42" ht="13.8">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40"/>
      <c r="AN527" s="40"/>
      <c r="AO527" s="40"/>
      <c r="AP527" s="40"/>
    </row>
    <row r="528" spans="2:42" ht="13.8">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40"/>
      <c r="AN528" s="40"/>
      <c r="AO528" s="40"/>
      <c r="AP528" s="40"/>
    </row>
    <row r="529" spans="2:42" ht="13.8">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40"/>
      <c r="AN529" s="40"/>
      <c r="AO529" s="40"/>
      <c r="AP529" s="40"/>
    </row>
    <row r="530" spans="2:42" ht="13.8">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40"/>
      <c r="AN530" s="40"/>
      <c r="AO530" s="40"/>
      <c r="AP530" s="40"/>
    </row>
    <row r="531" spans="2:42" ht="13.8">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40"/>
      <c r="AN531" s="40"/>
      <c r="AO531" s="40"/>
      <c r="AP531" s="40"/>
    </row>
    <row r="532" spans="2:42" ht="13.8">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40"/>
      <c r="AN532" s="40"/>
      <c r="AO532" s="40"/>
      <c r="AP532" s="40"/>
    </row>
    <row r="533" spans="2:42" ht="13.8">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c r="AM533" s="40"/>
      <c r="AN533" s="40"/>
      <c r="AO533" s="40"/>
      <c r="AP533" s="40"/>
    </row>
    <row r="534" spans="2:42" ht="13.8">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c r="AM534" s="40"/>
      <c r="AN534" s="40"/>
      <c r="AO534" s="40"/>
      <c r="AP534" s="40"/>
    </row>
    <row r="535" spans="2:42" ht="13.8">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c r="AN535" s="40"/>
      <c r="AO535" s="40"/>
      <c r="AP535" s="40"/>
    </row>
    <row r="536" spans="2:42" ht="13.8">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c r="AN536" s="40"/>
      <c r="AO536" s="40"/>
      <c r="AP536" s="40"/>
    </row>
    <row r="537" spans="2:42" ht="13.8">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c r="AN537" s="40"/>
      <c r="AO537" s="40"/>
      <c r="AP537" s="40"/>
    </row>
    <row r="538" spans="2:42" ht="13.8">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c r="AN538" s="40"/>
      <c r="AO538" s="40"/>
      <c r="AP538" s="40"/>
    </row>
    <row r="539" spans="2:42" ht="13.8">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c r="AN539" s="40"/>
      <c r="AO539" s="40"/>
      <c r="AP539" s="40"/>
    </row>
    <row r="540" spans="2:42" ht="13.8">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c r="AN540" s="40"/>
      <c r="AO540" s="40"/>
      <c r="AP540" s="40"/>
    </row>
    <row r="541" spans="2:42" ht="13.8">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c r="AN541" s="40"/>
      <c r="AO541" s="40"/>
      <c r="AP541" s="40"/>
    </row>
    <row r="542" spans="2:42" ht="13.8">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c r="AN542" s="40"/>
      <c r="AO542" s="40"/>
      <c r="AP542" s="40"/>
    </row>
    <row r="543" spans="2:42" ht="13.8">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c r="AN543" s="40"/>
      <c r="AO543" s="40"/>
      <c r="AP543" s="40"/>
    </row>
    <row r="544" spans="2:42" ht="13.8">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c r="AN544" s="40"/>
      <c r="AO544" s="40"/>
      <c r="AP544" s="40"/>
    </row>
    <row r="545" spans="2:42" ht="13.8">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40"/>
      <c r="AN545" s="40"/>
      <c r="AO545" s="40"/>
      <c r="AP545" s="40"/>
    </row>
    <row r="546" spans="2:42" ht="13.8">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c r="AN546" s="40"/>
      <c r="AO546" s="40"/>
      <c r="AP546" s="40"/>
    </row>
    <row r="547" spans="2:42" ht="13.8">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c r="AM547" s="40"/>
      <c r="AN547" s="40"/>
      <c r="AO547" s="40"/>
      <c r="AP547" s="40"/>
    </row>
    <row r="548" spans="2:42" ht="13.8">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c r="AN548" s="40"/>
      <c r="AO548" s="40"/>
      <c r="AP548" s="40"/>
    </row>
    <row r="549" spans="2:42" ht="13.8">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40"/>
      <c r="AN549" s="40"/>
      <c r="AO549" s="40"/>
      <c r="AP549" s="40"/>
    </row>
    <row r="550" spans="2:42" ht="13.8">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c r="AM550" s="40"/>
      <c r="AN550" s="40"/>
      <c r="AO550" s="40"/>
      <c r="AP550" s="40"/>
    </row>
    <row r="551" spans="2:42" ht="13.8">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c r="AM551" s="40"/>
      <c r="AN551" s="40"/>
      <c r="AO551" s="40"/>
      <c r="AP551" s="40"/>
    </row>
    <row r="552" spans="2:42" ht="13.8">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c r="AM552" s="40"/>
      <c r="AN552" s="40"/>
      <c r="AO552" s="40"/>
      <c r="AP552" s="40"/>
    </row>
    <row r="553" spans="2:42" ht="13.8">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c r="AM553" s="40"/>
      <c r="AN553" s="40"/>
      <c r="AO553" s="40"/>
      <c r="AP553" s="40"/>
    </row>
    <row r="554" spans="2:42" ht="13.8">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c r="AM554" s="40"/>
      <c r="AN554" s="40"/>
      <c r="AO554" s="40"/>
      <c r="AP554" s="40"/>
    </row>
    <row r="555" spans="2:42" ht="13.8">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c r="AM555" s="40"/>
      <c r="AN555" s="40"/>
      <c r="AO555" s="40"/>
      <c r="AP555" s="40"/>
    </row>
    <row r="556" spans="2:42" ht="13.8">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c r="AM556" s="40"/>
      <c r="AN556" s="40"/>
      <c r="AO556" s="40"/>
      <c r="AP556" s="40"/>
    </row>
    <row r="557" spans="2:42" ht="13.8">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c r="AM557" s="40"/>
      <c r="AN557" s="40"/>
      <c r="AO557" s="40"/>
      <c r="AP557" s="40"/>
    </row>
    <row r="558" spans="2:42" ht="13.8">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c r="AN558" s="40"/>
      <c r="AO558" s="40"/>
      <c r="AP558" s="40"/>
    </row>
    <row r="559" spans="2:42" ht="13.8">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c r="AN559" s="40"/>
      <c r="AO559" s="40"/>
      <c r="AP559" s="40"/>
    </row>
    <row r="560" spans="2:42" ht="13.8">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c r="AN560" s="40"/>
      <c r="AO560" s="40"/>
      <c r="AP560" s="40"/>
    </row>
    <row r="561" spans="2:42" ht="13.8">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c r="AN561" s="40"/>
      <c r="AO561" s="40"/>
      <c r="AP561" s="40"/>
    </row>
    <row r="562" spans="2:42" ht="13.8">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c r="AN562" s="40"/>
      <c r="AO562" s="40"/>
      <c r="AP562" s="40"/>
    </row>
    <row r="563" spans="2:42" ht="13.8">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c r="AN563" s="40"/>
      <c r="AO563" s="40"/>
      <c r="AP563" s="40"/>
    </row>
    <row r="564" spans="2:42" ht="13.8">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c r="AN564" s="40"/>
      <c r="AO564" s="40"/>
      <c r="AP564" s="40"/>
    </row>
    <row r="565" spans="2:42" ht="13.8">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c r="AN565" s="40"/>
      <c r="AO565" s="40"/>
      <c r="AP565" s="40"/>
    </row>
    <row r="566" spans="2:42" ht="13.8">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c r="AP566" s="40"/>
    </row>
    <row r="567" spans="2:42" ht="13.8">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c r="AN567" s="40"/>
      <c r="AO567" s="40"/>
      <c r="AP567" s="40"/>
    </row>
    <row r="568" spans="2:42" ht="13.8">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c r="AN568" s="40"/>
      <c r="AO568" s="40"/>
      <c r="AP568" s="40"/>
    </row>
    <row r="569" spans="2:42" ht="13.8">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c r="AN569" s="40"/>
      <c r="AO569" s="40"/>
      <c r="AP569" s="40"/>
    </row>
    <row r="570" spans="2:42" ht="13.8">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c r="AN570" s="40"/>
      <c r="AO570" s="40"/>
      <c r="AP570" s="40"/>
    </row>
    <row r="571" spans="2:42" ht="13.8">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c r="AN571" s="40"/>
      <c r="AO571" s="40"/>
      <c r="AP571" s="40"/>
    </row>
    <row r="572" spans="2:42" ht="13.8">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c r="AN572" s="40"/>
      <c r="AO572" s="40"/>
      <c r="AP572" s="40"/>
    </row>
    <row r="573" spans="2:42" ht="13.8">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c r="AN573" s="40"/>
      <c r="AO573" s="40"/>
      <c r="AP573" s="40"/>
    </row>
    <row r="574" spans="2:42" ht="13.8">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c r="AN574" s="40"/>
      <c r="AO574" s="40"/>
      <c r="AP574" s="40"/>
    </row>
    <row r="575" spans="2:42" ht="13.8">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c r="AP575" s="40"/>
    </row>
    <row r="576" spans="2:42" ht="13.8">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c r="AP576" s="40"/>
    </row>
    <row r="577" spans="2:42" ht="13.8">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c r="AP577" s="40"/>
    </row>
    <row r="578" spans="2:42" ht="13.8">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c r="AP578" s="40"/>
    </row>
    <row r="579" spans="2:42" ht="13.8">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c r="AP579" s="40"/>
    </row>
    <row r="580" spans="2:42" ht="13.8">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c r="AP580" s="40"/>
    </row>
    <row r="581" spans="2:42" ht="13.8">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row>
    <row r="582" spans="2:42" ht="13.8">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c r="AP582" s="40"/>
    </row>
    <row r="583" spans="2:42" ht="13.8">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c r="AP583" s="40"/>
    </row>
    <row r="584" spans="2:42" ht="13.8">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c r="AP584" s="40"/>
    </row>
    <row r="585" spans="2:42" ht="13.8">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c r="AP585" s="40"/>
    </row>
    <row r="586" spans="2:42" ht="13.8">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c r="AP586" s="40"/>
    </row>
    <row r="587" spans="2:42" ht="13.8">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c r="AN587" s="40"/>
      <c r="AO587" s="40"/>
      <c r="AP587" s="40"/>
    </row>
    <row r="588" spans="2:42" ht="13.8">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c r="AN588" s="40"/>
      <c r="AO588" s="40"/>
      <c r="AP588" s="40"/>
    </row>
    <row r="589" spans="2:42" ht="13.8">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c r="AN589" s="40"/>
      <c r="AO589" s="40"/>
      <c r="AP589" s="40"/>
    </row>
    <row r="590" spans="2:42" ht="13.8">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c r="AN590" s="40"/>
      <c r="AO590" s="40"/>
      <c r="AP590" s="40"/>
    </row>
    <row r="591" spans="2:42" ht="13.8">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c r="AN591" s="40"/>
      <c r="AO591" s="40"/>
      <c r="AP591" s="40"/>
    </row>
    <row r="592" spans="2:42" ht="13.8">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c r="AN592" s="40"/>
      <c r="AO592" s="40"/>
      <c r="AP592" s="40"/>
    </row>
    <row r="593" spans="2:42" ht="13.8">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c r="AN593" s="40"/>
      <c r="AO593" s="40"/>
      <c r="AP593" s="40"/>
    </row>
    <row r="594" spans="2:42" ht="13.8">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c r="AN594" s="40"/>
      <c r="AO594" s="40"/>
      <c r="AP594" s="40"/>
    </row>
    <row r="595" spans="2:42" ht="13.8">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c r="AN595" s="40"/>
      <c r="AO595" s="40"/>
      <c r="AP595" s="40"/>
    </row>
    <row r="596" spans="2:42" ht="13.8">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c r="AN596" s="40"/>
      <c r="AO596" s="40"/>
      <c r="AP596" s="40"/>
    </row>
    <row r="597" spans="2:42" ht="13.8">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c r="AN597" s="40"/>
      <c r="AO597" s="40"/>
      <c r="AP597" s="40"/>
    </row>
    <row r="598" spans="2:42" ht="13.8">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c r="AN598" s="40"/>
      <c r="AO598" s="40"/>
      <c r="AP598" s="40"/>
    </row>
    <row r="599" spans="2:42" ht="13.8">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c r="AN599" s="40"/>
      <c r="AO599" s="40"/>
      <c r="AP599" s="40"/>
    </row>
    <row r="600" spans="2:42" ht="13.8">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c r="AN600" s="40"/>
      <c r="AO600" s="40"/>
      <c r="AP600" s="40"/>
    </row>
    <row r="601" spans="2:42" ht="13.8">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c r="AN601" s="40"/>
      <c r="AO601" s="40"/>
      <c r="AP601" s="40"/>
    </row>
    <row r="602" spans="2:42" ht="13.8">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c r="AP602" s="40"/>
    </row>
    <row r="603" spans="2:42" ht="13.8">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c r="AP603" s="40"/>
    </row>
    <row r="604" spans="2:42" ht="13.8">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c r="AN604" s="40"/>
      <c r="AO604" s="40"/>
      <c r="AP604" s="40"/>
    </row>
    <row r="605" spans="2:42" ht="13.8">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c r="AN605" s="40"/>
      <c r="AO605" s="40"/>
      <c r="AP605" s="40"/>
    </row>
    <row r="606" spans="2:42" ht="13.8">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c r="AP606" s="40"/>
    </row>
    <row r="607" spans="2:42" ht="13.8">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c r="AP607" s="40"/>
    </row>
    <row r="608" spans="2:42" ht="13.8">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c r="AP608" s="40"/>
    </row>
    <row r="609" spans="2:42" ht="13.8">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c r="AP609" s="40"/>
    </row>
    <row r="610" spans="2:42" ht="13.8">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c r="AP610" s="40"/>
    </row>
    <row r="611" spans="2:42" ht="13.8">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c r="AP611" s="40"/>
    </row>
    <row r="612" spans="2:42" ht="13.8">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c r="AP612" s="40"/>
    </row>
    <row r="613" spans="2:42" ht="13.8">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c r="AP613" s="40"/>
    </row>
    <row r="614" spans="2:42" ht="13.8">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c r="AP614" s="40"/>
    </row>
    <row r="615" spans="2:42" ht="13.8">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c r="AP615" s="40"/>
    </row>
    <row r="616" spans="2:42" ht="13.8">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row>
    <row r="617" spans="2:42" ht="13.8">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row>
    <row r="618" spans="2:42" ht="13.8">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c r="AP618" s="40"/>
    </row>
    <row r="619" spans="2:42" ht="13.8">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c r="AP619" s="40"/>
    </row>
    <row r="620" spans="2:42" ht="13.8">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c r="AP620" s="40"/>
    </row>
    <row r="621" spans="2:42" ht="13.8">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c r="AP621" s="40"/>
    </row>
    <row r="622" spans="2:42" ht="13.8">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c r="AP622" s="40"/>
    </row>
    <row r="623" spans="2:42" ht="13.8">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c r="AP623" s="40"/>
    </row>
    <row r="624" spans="2:42" ht="13.8">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c r="AP624" s="40"/>
    </row>
    <row r="625" spans="2:42" ht="13.8">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c r="AP625" s="40"/>
    </row>
    <row r="626" spans="2:42" ht="13.8">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c r="AP626" s="40"/>
    </row>
    <row r="627" spans="2:42" ht="13.8">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c r="AP627" s="40"/>
    </row>
    <row r="628" spans="2:42" ht="13.8">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c r="AP628" s="40"/>
    </row>
    <row r="629" spans="2:42" ht="13.8">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c r="AP629" s="40"/>
    </row>
    <row r="630" spans="2:42" ht="13.8">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c r="AP630" s="40"/>
    </row>
    <row r="631" spans="2:42" ht="13.8">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c r="AP631" s="40"/>
    </row>
    <row r="632" spans="2:42" ht="13.8">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c r="AP632" s="40"/>
    </row>
    <row r="633" spans="2:42" ht="13.8">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c r="AP633" s="40"/>
    </row>
    <row r="634" spans="2:42" ht="13.8">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c r="AP634" s="40"/>
    </row>
    <row r="635" spans="2:42" ht="13.8">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c r="AP635" s="40"/>
    </row>
    <row r="636" spans="2:42" ht="13.8">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c r="AP636" s="40"/>
    </row>
    <row r="637" spans="2:42" ht="13.8">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c r="AP637" s="40"/>
    </row>
    <row r="638" spans="2:42" ht="13.8">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row>
    <row r="639" spans="2:42" ht="13.8">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c r="AP639" s="40"/>
    </row>
    <row r="640" spans="2:42" ht="13.8">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c r="AP640" s="40"/>
    </row>
    <row r="641" spans="2:42" ht="13.8">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c r="AP641" s="40"/>
    </row>
    <row r="642" spans="2:42" ht="13.8">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c r="AP642" s="40"/>
    </row>
    <row r="643" spans="2:42" ht="13.8">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c r="AP643" s="40"/>
    </row>
    <row r="644" spans="2:42" ht="13.8">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c r="AP644" s="40"/>
    </row>
    <row r="645" spans="2:42" ht="13.8">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c r="AP645" s="40"/>
    </row>
    <row r="646" spans="2:42" ht="13.8">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c r="AP646" s="40"/>
    </row>
    <row r="647" spans="2:42" ht="13.8">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c r="AP647" s="40"/>
    </row>
    <row r="648" spans="2:42" ht="13.8">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c r="AP648" s="40"/>
    </row>
    <row r="649" spans="2:42" ht="13.8">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c r="AP649" s="40"/>
    </row>
    <row r="650" spans="2:42" ht="13.8">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c r="AP650" s="40"/>
    </row>
    <row r="651" spans="2:42" ht="13.8">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row>
    <row r="652" spans="2:42" ht="13.8">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c r="AP652" s="40"/>
    </row>
    <row r="653" spans="2:42" ht="13.8">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c r="AP653" s="40"/>
    </row>
    <row r="654" spans="2:42" ht="13.8">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c r="AP654" s="40"/>
    </row>
    <row r="655" spans="2:42" ht="13.8">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c r="AP655" s="40"/>
    </row>
    <row r="656" spans="2:42" ht="13.8">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c r="AP656" s="40"/>
    </row>
    <row r="657" spans="2:42" ht="13.8">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row>
    <row r="658" spans="2:42" ht="13.8">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c r="AP658" s="40"/>
    </row>
    <row r="659" spans="2:42" ht="13.8">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row>
    <row r="660" spans="2:42" ht="13.8">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row>
    <row r="661" spans="2:42" ht="13.8">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row>
    <row r="662" spans="2:42" ht="13.8">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row>
    <row r="663" spans="2:42" ht="13.8">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row>
    <row r="664" spans="2:42" ht="13.8">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row>
    <row r="665" spans="2:42" ht="13.8">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row>
    <row r="666" spans="2:42" ht="13.8">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row>
    <row r="667" spans="2:42" ht="13.8">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row>
    <row r="668" spans="2:42" ht="13.8">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row>
    <row r="669" spans="2:42" ht="13.8">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row>
    <row r="670" spans="2:42" ht="13.8">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row>
    <row r="671" spans="2:42" ht="13.8">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row>
    <row r="672" spans="2:42" ht="13.8">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row>
    <row r="673" spans="2:42" ht="13.8">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row>
    <row r="674" spans="2:42" ht="13.8">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row>
    <row r="675" spans="2:42" ht="13.8">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row>
    <row r="676" spans="2:42" ht="13.8">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row>
    <row r="677" spans="2:42" ht="13.8">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row>
    <row r="678" spans="2:42" ht="13.8">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row>
    <row r="679" spans="2:42" ht="13.8">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c r="AP679" s="40"/>
    </row>
    <row r="680" spans="2:42" ht="13.8">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c r="AP680" s="40"/>
    </row>
    <row r="681" spans="2:42" ht="13.8">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c r="AP681" s="40"/>
    </row>
    <row r="682" spans="2:42" ht="13.8">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c r="AP682" s="40"/>
    </row>
    <row r="683" spans="2:42" ht="13.8">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c r="AP683" s="40"/>
    </row>
    <row r="684" spans="2:42" ht="13.8">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c r="AP684" s="40"/>
    </row>
    <row r="685" spans="2:42" ht="13.8">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c r="AP685" s="40"/>
    </row>
    <row r="686" spans="2:42" ht="13.8">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row>
    <row r="687" spans="2:42" ht="13.8">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row>
    <row r="688" spans="2:42" ht="13.8">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c r="AP688" s="40"/>
    </row>
    <row r="689" spans="2:42" ht="13.8">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row>
    <row r="690" spans="2:42" ht="13.8">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row>
    <row r="691" spans="2:42" ht="13.8">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row>
    <row r="692" spans="2:42" ht="13.8">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row>
    <row r="693" spans="2:42" ht="13.8">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row>
    <row r="694" spans="2:42" ht="13.8">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row>
    <row r="695" spans="2:42" ht="13.8">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row>
    <row r="696" spans="2:42" ht="13.8">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row>
    <row r="697" spans="2:42" ht="13.8">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row>
    <row r="698" spans="2:42" ht="13.8">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row>
    <row r="699" spans="2:42" ht="13.8">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row>
    <row r="700" spans="2:42" ht="13.8">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row>
    <row r="701" spans="2:42" ht="13.8">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row>
    <row r="702" spans="2:42" ht="13.8">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row>
    <row r="703" spans="2:42" ht="13.8">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row>
    <row r="704" spans="2:42" ht="13.8">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row>
    <row r="705" spans="2:42" ht="13.8">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row>
    <row r="706" spans="2:42" ht="13.8">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c r="AP706" s="40"/>
    </row>
    <row r="707" spans="2:42" ht="13.8">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row>
    <row r="708" spans="2:42" ht="13.8">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c r="AP708" s="40"/>
    </row>
    <row r="709" spans="2:42" ht="13.8">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row>
    <row r="710" spans="2:42" ht="13.8">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row>
    <row r="711" spans="2:42" ht="13.8">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row>
    <row r="712" spans="2:42" ht="13.8">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row>
    <row r="713" spans="2:42" ht="13.8">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row>
    <row r="714" spans="2:42" ht="13.8">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row>
    <row r="715" spans="2:42" ht="13.8">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row>
    <row r="716" spans="2:42" ht="13.8">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row>
    <row r="717" spans="2:42" ht="13.8">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c r="AP717" s="40"/>
    </row>
    <row r="718" spans="2:42" ht="13.8">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c r="AP718" s="40"/>
    </row>
    <row r="719" spans="2:42" ht="13.8">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c r="AP719" s="40"/>
    </row>
    <row r="720" spans="2:42" ht="13.8">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c r="AP720" s="40"/>
    </row>
    <row r="721" spans="2:42" ht="13.8">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row>
    <row r="722" spans="2:42" ht="13.8">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c r="AP722" s="40"/>
    </row>
    <row r="723" spans="2:42" ht="13.8">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row>
    <row r="724" spans="2:42" ht="13.8">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c r="AP724" s="40"/>
    </row>
    <row r="725" spans="2:42" ht="13.8">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c r="AP725" s="40"/>
    </row>
    <row r="726" spans="2:42" ht="13.8">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c r="AP726" s="40"/>
    </row>
    <row r="727" spans="2:42" ht="13.8">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c r="AP727" s="40"/>
    </row>
    <row r="728" spans="2:42" ht="13.8">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c r="AP728" s="40"/>
    </row>
    <row r="729" spans="2:42" ht="13.8">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c r="AP729" s="40"/>
    </row>
    <row r="730" spans="2:42" ht="13.8">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c r="AP730" s="40"/>
    </row>
    <row r="731" spans="2:42" ht="13.8">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c r="AP731" s="40"/>
    </row>
    <row r="732" spans="2:42" ht="13.8">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c r="AP732" s="40"/>
    </row>
    <row r="733" spans="2:42" ht="13.8">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c r="AP733" s="40"/>
    </row>
    <row r="734" spans="2:42" ht="13.8">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c r="AP734" s="40"/>
    </row>
    <row r="735" spans="2:42" ht="13.8">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c r="AP735" s="40"/>
    </row>
    <row r="736" spans="2:42" ht="13.8">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c r="AP736" s="40"/>
    </row>
    <row r="737" spans="2:42" ht="13.8">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row>
    <row r="738" spans="2:42" ht="13.8">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c r="AP738" s="40"/>
    </row>
    <row r="739" spans="2:42" ht="13.8">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row>
    <row r="740" spans="2:42" ht="13.8">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row>
    <row r="741" spans="2:42" ht="13.8">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row>
    <row r="742" spans="2:42" ht="13.8">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row>
    <row r="743" spans="2:42" ht="13.8">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row>
    <row r="744" spans="2:42" ht="13.8">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row>
    <row r="745" spans="2:42" ht="13.8">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row>
    <row r="746" spans="2:42" ht="13.8">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row>
    <row r="747" spans="2:42" ht="13.8">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row>
    <row r="748" spans="2:42" ht="13.8">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row>
    <row r="749" spans="2:42" ht="13.8">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row>
    <row r="750" spans="2:42" ht="13.8">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c r="AP750" s="40"/>
    </row>
    <row r="751" spans="2:42" ht="13.8">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c r="AP751" s="40"/>
    </row>
    <row r="752" spans="2:42" ht="13.8">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c r="AP752" s="40"/>
    </row>
    <row r="753" spans="2:42" ht="13.8">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c r="AP753" s="40"/>
    </row>
    <row r="754" spans="2:42" ht="13.8">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c r="AP754" s="40"/>
    </row>
    <row r="755" spans="2:42" ht="13.8">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c r="AP755" s="40"/>
    </row>
    <row r="756" spans="2:42" ht="13.8">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row>
    <row r="757" spans="2:42" ht="13.8">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c r="AP757" s="40"/>
    </row>
    <row r="758" spans="2:42" ht="13.8">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c r="AP758" s="40"/>
    </row>
    <row r="759" spans="2:42" ht="13.8">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c r="AP759" s="40"/>
    </row>
    <row r="760" spans="2:42" ht="13.8">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c r="AP760" s="40"/>
    </row>
    <row r="761" spans="2:42" ht="13.8">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c r="AP761" s="40"/>
    </row>
    <row r="762" spans="2:42" ht="13.8">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c r="AP762" s="40"/>
    </row>
    <row r="763" spans="2:42" ht="13.8">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c r="AP763" s="40"/>
    </row>
    <row r="764" spans="2:42" ht="13.8">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c r="AP764" s="40"/>
    </row>
    <row r="765" spans="2:42" ht="13.8">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c r="AP765" s="40"/>
    </row>
    <row r="766" spans="2:42" ht="13.8">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c r="AP766" s="40"/>
    </row>
    <row r="767" spans="2:42" ht="13.8">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c r="AP767" s="40"/>
    </row>
    <row r="768" spans="2:42" ht="13.8">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row>
    <row r="769" spans="2:42" ht="13.8">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row>
    <row r="770" spans="2:42" ht="13.8">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row>
    <row r="771" spans="2:42" ht="13.8">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row>
    <row r="772" spans="2:42" ht="13.8">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row>
    <row r="773" spans="2:42" ht="13.8">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row>
    <row r="774" spans="2:42" ht="13.8">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row>
    <row r="775" spans="2:42" ht="13.8">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row>
    <row r="776" spans="2:42" ht="13.8">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row>
    <row r="777" spans="2:42" ht="13.8">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row>
    <row r="778" spans="2:42" ht="13.8">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row>
    <row r="779" spans="2:42" ht="13.8">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row>
    <row r="780" spans="2:42" ht="13.8">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row>
    <row r="781" spans="2:42" ht="13.8">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row>
    <row r="782" spans="2:42" ht="13.8">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row>
    <row r="783" spans="2:42" ht="13.8">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row>
    <row r="784" spans="2:42" ht="13.8">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row>
    <row r="785" spans="2:42" ht="13.8">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row>
    <row r="786" spans="2:42" ht="13.8">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row>
    <row r="787" spans="2:42" ht="13.8">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row>
    <row r="788" spans="2:42" ht="13.8">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row>
    <row r="789" spans="2:42" ht="13.8">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row>
    <row r="790" spans="2:42" ht="13.8">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c r="AP790" s="40"/>
    </row>
    <row r="791" spans="2:42" ht="13.8">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row>
    <row r="792" spans="2:42" ht="13.8">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c r="AP792" s="40"/>
    </row>
    <row r="793" spans="2:42" ht="13.8">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c r="AP793" s="40"/>
    </row>
    <row r="794" spans="2:42" ht="13.8">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c r="AP794" s="40"/>
    </row>
    <row r="795" spans="2:42" ht="13.8">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c r="AP795" s="40"/>
    </row>
    <row r="796" spans="2:42" ht="13.8">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c r="AP796" s="40"/>
    </row>
    <row r="797" spans="2:42" ht="13.8">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c r="AP797" s="40"/>
    </row>
    <row r="798" spans="2:42" ht="13.8">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c r="AP798" s="40"/>
    </row>
    <row r="799" spans="2:42" ht="13.8">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c r="AP799" s="40"/>
    </row>
    <row r="800" spans="2:42" ht="13.8">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c r="AP800" s="40"/>
    </row>
    <row r="801" spans="2:42" ht="13.8">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c r="AP801" s="40"/>
    </row>
    <row r="802" spans="2:42" ht="13.8">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c r="AP802" s="40"/>
    </row>
    <row r="803" spans="2:42" ht="13.8">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c r="AP803" s="40"/>
    </row>
    <row r="804" spans="2:42" ht="13.8">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c r="AP804" s="40"/>
    </row>
    <row r="805" spans="2:42" ht="13.8">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c r="AP805" s="40"/>
    </row>
    <row r="806" spans="2:42" ht="13.8">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c r="AP806" s="40"/>
    </row>
    <row r="807" spans="2:42" ht="13.8">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c r="AP807" s="40"/>
    </row>
    <row r="808" spans="2:42" ht="13.8">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c r="AP808" s="40"/>
    </row>
    <row r="809" spans="2:42" ht="13.8">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c r="AP809" s="40"/>
    </row>
    <row r="810" spans="2:42" ht="13.8">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c r="AP810" s="40"/>
    </row>
    <row r="811" spans="2:42" ht="13.8">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c r="AP811" s="40"/>
    </row>
    <row r="812" spans="2:42" ht="13.8">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c r="AP812" s="40"/>
    </row>
    <row r="813" spans="2:42" ht="13.8">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c r="AP813" s="40"/>
    </row>
    <row r="814" spans="2:42" ht="13.8">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c r="AP814" s="40"/>
    </row>
    <row r="815" spans="2:42" ht="13.8">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c r="AP815" s="40"/>
    </row>
    <row r="816" spans="2:42" ht="13.8">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c r="AP816" s="40"/>
    </row>
    <row r="817" spans="2:42" ht="13.8">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c r="AP817" s="40"/>
    </row>
    <row r="818" spans="2:42" ht="13.8">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c r="AP818" s="40"/>
    </row>
    <row r="819" spans="2:42" ht="13.8">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c r="AP819" s="40"/>
    </row>
    <row r="820" spans="2:42" ht="13.8">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c r="AP820" s="40"/>
    </row>
    <row r="821" spans="2:42" ht="13.8">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c r="AP821" s="40"/>
    </row>
    <row r="822" spans="2:42" ht="13.8">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c r="AP822" s="40"/>
    </row>
    <row r="823" spans="2:42" ht="13.8">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row>
    <row r="824" spans="2:42" ht="13.8">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row>
    <row r="825" spans="2:42" ht="13.8">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row>
    <row r="826" spans="2:42" ht="13.8">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row>
    <row r="827" spans="2:42" ht="13.8">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row>
    <row r="828" spans="2:42" ht="13.8">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row>
    <row r="829" spans="2:42" ht="13.8">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row>
    <row r="830" spans="2:42" ht="13.8">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row>
    <row r="831" spans="2:42" ht="13.8">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row>
    <row r="832" spans="2:42" ht="13.8">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row>
    <row r="833" spans="2:42" ht="13.8">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row>
    <row r="834" spans="2:42" ht="13.8">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row>
    <row r="835" spans="2:42" ht="13.8">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row>
    <row r="836" spans="2:42" ht="13.8">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row>
    <row r="837" spans="2:42" ht="13.8">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row>
    <row r="838" spans="2:42" ht="13.8">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row>
    <row r="839" spans="2:42" ht="13.8">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row>
    <row r="840" spans="2:42" ht="13.8">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row>
    <row r="841" spans="2:42" ht="13.8">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row>
    <row r="842" spans="2:42" ht="13.8">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c r="AP842" s="40"/>
    </row>
    <row r="843" spans="2:42" ht="13.8">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c r="AP843" s="40"/>
    </row>
    <row r="844" spans="2:42" ht="13.8">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row>
    <row r="845" spans="2:42" ht="13.8">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row>
    <row r="846" spans="2:42" ht="13.8">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row>
    <row r="847" spans="2:42" ht="13.8">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row>
    <row r="848" spans="2:42" ht="13.8">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row>
    <row r="849" spans="2:42" ht="13.8">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row>
    <row r="850" spans="2:42" ht="13.8">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row>
    <row r="851" spans="2:42" ht="13.8">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row>
    <row r="852" spans="2:42" ht="13.8">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row>
    <row r="853" spans="2:42" ht="13.8">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row>
    <row r="854" spans="2:42" ht="13.8">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row>
    <row r="855" spans="2:42" ht="13.8">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row>
    <row r="856" spans="2:42" ht="13.8">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row>
    <row r="857" spans="2:42" ht="13.8">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row>
    <row r="858" spans="2:42" ht="13.8">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row>
    <row r="859" spans="2:42" ht="13.8">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row>
    <row r="860" spans="2:42" ht="13.8">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row>
    <row r="861" spans="2:42" ht="13.8">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row>
    <row r="862" spans="2:42" ht="13.8">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row>
    <row r="863" spans="2:42" ht="13.8">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row>
    <row r="864" spans="2:42" ht="13.8">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row>
    <row r="865" spans="2:42" ht="13.8">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row>
    <row r="866" spans="2:42" ht="13.8">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row>
    <row r="867" spans="2:42" ht="13.8">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row>
    <row r="868" spans="2:42" ht="13.8">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row>
    <row r="869" spans="2:42" ht="13.8">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row>
    <row r="870" spans="2:42" ht="13.8">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row>
    <row r="871" spans="2:42" ht="13.8">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c r="AP871" s="40"/>
    </row>
    <row r="872" spans="2:42" ht="13.8">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row>
    <row r="873" spans="2:42" ht="13.8">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c r="AP873" s="40"/>
    </row>
    <row r="874" spans="2:42" ht="13.8">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c r="AP874" s="40"/>
    </row>
    <row r="875" spans="2:42" ht="13.8">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c r="AP875" s="40"/>
    </row>
    <row r="876" spans="2:42" ht="13.8">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row>
    <row r="877" spans="2:42" ht="13.8">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row>
    <row r="878" spans="2:42" ht="13.8">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row>
    <row r="879" spans="2:42" ht="13.8">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c r="AP879" s="40"/>
    </row>
    <row r="880" spans="2:42" ht="13.8">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row>
    <row r="881" spans="2:42" ht="13.8">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row>
    <row r="882" spans="2:42" ht="13.8">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c r="AP882" s="40"/>
    </row>
    <row r="883" spans="2:42" ht="13.8">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c r="AP883" s="40"/>
    </row>
    <row r="884" spans="2:42" ht="13.8">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row>
    <row r="885" spans="2:42" ht="13.8">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row>
    <row r="886" spans="2:42" ht="13.8">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row>
    <row r="887" spans="2:42" ht="13.8">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row>
    <row r="888" spans="2:42" ht="13.8">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row>
    <row r="889" spans="2:42" ht="13.8">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row>
    <row r="890" spans="2:42" ht="13.8">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row>
    <row r="891" spans="2:42" ht="13.8">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row>
    <row r="892" spans="2:42" ht="13.8">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row>
    <row r="893" spans="2:42" ht="13.8">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row>
    <row r="894" spans="2:42" ht="13.8">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row>
    <row r="895" spans="2:42" ht="13.8">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row>
    <row r="896" spans="2:42" ht="13.8">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row>
    <row r="897" spans="2:42" ht="13.8">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row>
    <row r="898" spans="2:42" ht="13.8">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row>
    <row r="899" spans="2:42" ht="13.8">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row>
    <row r="900" spans="2:42" ht="13.8">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c r="AP900" s="40"/>
    </row>
    <row r="901" spans="2:42" ht="13.8">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row>
    <row r="902" spans="2:42" ht="13.8">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row>
    <row r="903" spans="2:42" ht="13.8">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row>
    <row r="904" spans="2:42" ht="13.8">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row>
    <row r="905" spans="2:42" ht="13.8">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row>
    <row r="906" spans="2:42" ht="13.8">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row>
    <row r="907" spans="2:42" ht="13.8">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row>
    <row r="908" spans="2:42" ht="13.8">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row>
    <row r="909" spans="2:42" ht="13.8">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row>
    <row r="910" spans="2:42" ht="13.8">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row>
    <row r="911" spans="2:42" ht="13.8">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row>
    <row r="912" spans="2:42" ht="13.8">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c r="AP912" s="40"/>
    </row>
    <row r="913" spans="2:42" ht="13.8">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c r="AP913" s="40"/>
    </row>
    <row r="914" spans="2:42" ht="13.8">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c r="AP914" s="40"/>
    </row>
    <row r="915" spans="2:42" ht="13.8">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row>
    <row r="916" spans="2:42" ht="13.8">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row>
    <row r="917" spans="2:42" ht="13.8">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row>
    <row r="918" spans="2:42" ht="13.8">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row>
    <row r="919" spans="2:42" ht="13.8">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row>
    <row r="920" spans="2:42" ht="13.8">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row>
    <row r="921" spans="2:42" ht="13.8">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row>
    <row r="922" spans="2:42" ht="13.8">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c r="AP922" s="40"/>
    </row>
    <row r="923" spans="2:42" ht="13.8">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row>
    <row r="924" spans="2:42" ht="13.8">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row>
  </sheetData>
  <mergeCells count="75">
    <mergeCell ref="AC37:AD37"/>
    <mergeCell ref="AE37:AF37"/>
    <mergeCell ref="AG37:AH37"/>
    <mergeCell ref="AI37:AJ37"/>
    <mergeCell ref="AK37:AL37"/>
    <mergeCell ref="AM4:AN4"/>
    <mergeCell ref="AO4:AP4"/>
    <mergeCell ref="AQ4:AR4"/>
    <mergeCell ref="AO26:AP26"/>
    <mergeCell ref="AQ26:AR26"/>
    <mergeCell ref="S26:T26"/>
    <mergeCell ref="U26:V26"/>
    <mergeCell ref="W26:X26"/>
    <mergeCell ref="AM15:AN15"/>
    <mergeCell ref="AO15:AP15"/>
    <mergeCell ref="Y26:Z26"/>
    <mergeCell ref="AA26:AB26"/>
    <mergeCell ref="AC26:AD26"/>
    <mergeCell ref="AE26:AF26"/>
    <mergeCell ref="AG26:AH26"/>
    <mergeCell ref="AI26:AJ26"/>
    <mergeCell ref="S4:T4"/>
    <mergeCell ref="U4:V4"/>
    <mergeCell ref="W4:X4"/>
    <mergeCell ref="U15:V15"/>
    <mergeCell ref="W15:X15"/>
    <mergeCell ref="BC26:BD26"/>
    <mergeCell ref="AS26:AT26"/>
    <mergeCell ref="AU26:AV26"/>
    <mergeCell ref="AW26:AX26"/>
    <mergeCell ref="AY26:AZ26"/>
    <mergeCell ref="BA26:BB26"/>
    <mergeCell ref="AY15:AZ15"/>
    <mergeCell ref="BA15:BB15"/>
    <mergeCell ref="BC15:BD15"/>
    <mergeCell ref="S25:X25"/>
    <mergeCell ref="Y25:AD25"/>
    <mergeCell ref="AE25:AJ25"/>
    <mergeCell ref="AW15:AX15"/>
    <mergeCell ref="AM25:AR25"/>
    <mergeCell ref="AS25:AX25"/>
    <mergeCell ref="AY25:BD25"/>
    <mergeCell ref="AQ15:AR15"/>
    <mergeCell ref="BC4:BD4"/>
    <mergeCell ref="S14:X14"/>
    <mergeCell ref="Y14:AD14"/>
    <mergeCell ref="AE14:AJ14"/>
    <mergeCell ref="Y15:Z15"/>
    <mergeCell ref="AA15:AB15"/>
    <mergeCell ref="AC15:AD15"/>
    <mergeCell ref="AE15:AF15"/>
    <mergeCell ref="AG15:AH15"/>
    <mergeCell ref="AI15:AJ15"/>
    <mergeCell ref="AM14:AR14"/>
    <mergeCell ref="AS14:AX14"/>
    <mergeCell ref="AY14:BD14"/>
    <mergeCell ref="AS15:AT15"/>
    <mergeCell ref="AU15:AV15"/>
    <mergeCell ref="AA4:AB4"/>
    <mergeCell ref="AC4:AD4"/>
    <mergeCell ref="AG4:AH4"/>
    <mergeCell ref="AI4:AJ4"/>
    <mergeCell ref="Y4:Z4"/>
    <mergeCell ref="AE4:AF4"/>
    <mergeCell ref="AS4:AT4"/>
    <mergeCell ref="AU4:AV4"/>
    <mergeCell ref="AW4:AX4"/>
    <mergeCell ref="AY4:AZ4"/>
    <mergeCell ref="BA4:BB4"/>
    <mergeCell ref="AM3:AR3"/>
    <mergeCell ref="S3:X3"/>
    <mergeCell ref="AS3:AX3"/>
    <mergeCell ref="AY3:BD3"/>
    <mergeCell ref="Y3:AD3"/>
    <mergeCell ref="AE3:AJ3"/>
  </mergeCells>
  <conditionalFormatting sqref="C3:C86">
    <cfRule type="containsText" dxfId="8" priority="37" operator="containsText" text="Yes">
      <formula>NOT(ISERROR(SEARCH("Yes",C3)))</formula>
    </cfRule>
  </conditionalFormatting>
  <conditionalFormatting sqref="D3:E86 H3:H86 C5 C8:E9 C10">
    <cfRule type="containsText" dxfId="7" priority="190" operator="containsText" text="No">
      <formula>NOT(ISERROR(SEARCH("No",C3)))</formula>
    </cfRule>
  </conditionalFormatting>
  <conditionalFormatting sqref="F3:K66 F67 H67:I67 K67 F68:K86">
    <cfRule type="containsText" dxfId="6" priority="186" operator="containsText" text="Yes">
      <formula>NOT(ISERROR(SEARCH("Yes",F3)))</formula>
    </cfRule>
    <cfRule type="containsText" dxfId="5" priority="187" operator="containsText" text="No">
      <formula>NOT(ISERROR(SEARCH("No",F3)))</formula>
    </cfRule>
  </conditionalFormatting>
  <conditionalFormatting sqref="G67">
    <cfRule type="containsText" dxfId="4" priority="3" operator="containsText" text="No">
      <formula>NOT(ISERROR(SEARCH("No",G67)))</formula>
    </cfRule>
    <cfRule type="containsText" dxfId="3" priority="4" operator="containsText" text="No">
      <formula>NOT(ISERROR(SEARCH("No",G67)))</formula>
    </cfRule>
  </conditionalFormatting>
  <conditionalFormatting sqref="H3:H86 C3:E86">
    <cfRule type="containsText" dxfId="2" priority="189" operator="containsText" text="No">
      <formula>NOT(ISERROR(SEARCH("No",C3)))</formula>
    </cfRule>
  </conditionalFormatting>
  <conditionalFormatting sqref="J67">
    <cfRule type="containsText" dxfId="1" priority="1" operator="containsText" text="No">
      <formula>NOT(ISERROR(SEARCH("No",J67)))</formula>
    </cfRule>
    <cfRule type="containsText" dxfId="0" priority="2" operator="containsText" text="No">
      <formula>NOT(ISERROR(SEARCH("No",J67)))</formula>
    </cfRule>
  </conditionalFormatting>
  <dataValidations count="1">
    <dataValidation type="list" allowBlank="1" showInputMessage="1" showErrorMessage="1" sqref="C3:C86 F3:F86 I3:I86">
      <formula1>"Yes, No"</formula1>
    </dataValidation>
  </dataValidations>
  <pageMargins left="0.70866141732283472" right="0.70866141732283472" top="0.74803149606299213" bottom="0.74803149606299213" header="0.31496062992125984" footer="0.31496062992125984"/>
  <pageSetup paperSize="9" scale="80" orientation="landscape" horizontalDpi="360" verticalDpi="360"/>
  <headerFooter scaleWithDoc="1" alignWithMargins="1" differentFirst="0" differentOddEven="0">
    <oddHeader>&amp;LPhosphate Budget Calculator&amp;CData Tables</oddHeader>
    <oddFooter>&amp;LVersion 2.2&amp;R&amp;D</oddFooter>
  </headerFooter>
  <customProperties>
    <customPr name="SSC_SHEET_GUID" r:id="rId2"/>
  </customProperties>
  <ignoredErrors>
    <ignoredError sqref="G50:G52 G27" formula="1"/>
  </ignoredErrors>
  <legacyDrawing r:id="rId3"/>
  <tableParts count="3">
    <tablePart r:id="rId9"/>
    <tablePart r:id="rId10"/>
    <tablePart r:id="rId11"/>
  </tableParts>
  <extLst/>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E65"/>
  <sheetViews>
    <sheetView view="normal" workbookViewId="0">
      <selection pane="topLeft" activeCell="A1" sqref="A1"/>
    </sheetView>
  </sheetViews>
  <sheetFormatPr defaultRowHeight="13.2"/>
  <sheetData>
    <row r="1" spans="1:5">
      <c r="A1" t="s">
        <v>535</v>
      </c>
      <c r="B1" t="s">
        <v>536</v>
      </c>
      <c r="C1" t="s">
        <v>537</v>
      </c>
      <c r="D1" t="s">
        <v>538</v>
      </c>
      <c r="E1" t="s">
        <v>539</v>
      </c>
    </row>
    <row r="2" spans="1:3">
      <c r="A2" t="s">
        <v>540</v>
      </c>
      <c r="B2" t="s">
        <v>541</v>
      </c>
      <c r="C2" t="s">
        <v>542</v>
      </c>
    </row>
    <row r="3" spans="1:3">
      <c r="A3" t="s">
        <v>543</v>
      </c>
      <c r="B3" t="s">
        <v>544</v>
      </c>
      <c r="C3" t="s">
        <v>545</v>
      </c>
    </row>
    <row r="4" spans="1:3">
      <c r="A4" t="s">
        <v>546</v>
      </c>
      <c r="B4" t="s">
        <v>547</v>
      </c>
      <c r="C4" t="s">
        <v>548</v>
      </c>
    </row>
    <row r="5" spans="1:3">
      <c r="A5" t="s">
        <v>549</v>
      </c>
      <c r="B5" t="s">
        <v>550</v>
      </c>
      <c r="C5" t="s">
        <v>551</v>
      </c>
    </row>
    <row r="6" spans="1:3">
      <c r="A6" t="s">
        <v>552</v>
      </c>
      <c r="B6" t="s">
        <v>553</v>
      </c>
      <c r="C6" t="s">
        <v>554</v>
      </c>
    </row>
    <row r="7" spans="1:3">
      <c r="A7" t="s">
        <v>555</v>
      </c>
      <c r="B7" t="s">
        <v>556</v>
      </c>
      <c r="C7" t="s">
        <v>557</v>
      </c>
    </row>
    <row r="8" spans="1:3">
      <c r="A8" t="s">
        <v>558</v>
      </c>
      <c r="C8" t="s">
        <v>559</v>
      </c>
    </row>
    <row r="9" spans="1:3">
      <c r="A9" t="s">
        <v>560</v>
      </c>
      <c r="C9" t="s">
        <v>561</v>
      </c>
    </row>
    <row r="10" spans="1:3">
      <c r="A10" t="s">
        <v>562</v>
      </c>
      <c r="C10" t="s">
        <v>563</v>
      </c>
    </row>
    <row r="11" spans="1:3">
      <c r="A11" t="s">
        <v>564</v>
      </c>
      <c r="C11" t="s">
        <v>565</v>
      </c>
    </row>
    <row r="12" spans="1:3">
      <c r="A12" t="s">
        <v>566</v>
      </c>
      <c r="C12" t="s">
        <v>567</v>
      </c>
    </row>
    <row r="13" spans="1:3">
      <c r="A13" t="s">
        <v>568</v>
      </c>
      <c r="C13" t="s">
        <v>569</v>
      </c>
    </row>
    <row r="14" spans="1:1">
      <c r="A14" t="s">
        <v>570</v>
      </c>
    </row>
    <row r="15" spans="1:1">
      <c r="A15" t="s">
        <v>571</v>
      </c>
    </row>
    <row r="16" spans="1:1">
      <c r="A16" t="s">
        <v>572</v>
      </c>
    </row>
    <row r="17" spans="1:1">
      <c r="A17" t="s">
        <v>573</v>
      </c>
    </row>
    <row r="18" spans="1:1">
      <c r="A18" t="s">
        <v>574</v>
      </c>
    </row>
    <row r="19" spans="1:1">
      <c r="A19" t="s">
        <v>575</v>
      </c>
    </row>
    <row r="20" spans="1:1">
      <c r="A20" t="s">
        <v>576</v>
      </c>
    </row>
    <row r="21" spans="1:1">
      <c r="A21" t="s">
        <v>577</v>
      </c>
    </row>
    <row r="22" spans="1:1">
      <c r="A22" t="s">
        <v>578</v>
      </c>
    </row>
    <row r="23" spans="1:1">
      <c r="A23" t="s">
        <v>579</v>
      </c>
    </row>
    <row r="24" spans="1:1">
      <c r="A24" t="s">
        <v>580</v>
      </c>
    </row>
    <row r="25" spans="1:1">
      <c r="A25" t="s">
        <v>581</v>
      </c>
    </row>
    <row r="26" spans="1:1">
      <c r="A26" t="s">
        <v>582</v>
      </c>
    </row>
    <row r="27" spans="1:1">
      <c r="A27" t="s">
        <v>583</v>
      </c>
    </row>
    <row r="28" spans="1:1">
      <c r="A28" t="s">
        <v>584</v>
      </c>
    </row>
    <row r="29" spans="1:1">
      <c r="A29" t="s">
        <v>585</v>
      </c>
    </row>
    <row r="30" spans="1:1">
      <c r="A30" t="s">
        <v>586</v>
      </c>
    </row>
    <row r="31" spans="1:1">
      <c r="A31" t="s">
        <v>587</v>
      </c>
    </row>
    <row r="32" spans="1:1">
      <c r="A32" t="s">
        <v>588</v>
      </c>
    </row>
    <row r="33" spans="1:1">
      <c r="A33" t="s">
        <v>589</v>
      </c>
    </row>
    <row r="34" spans="1:1">
      <c r="A34" t="s">
        <v>590</v>
      </c>
    </row>
    <row r="35" spans="1:1">
      <c r="A35" t="s">
        <v>591</v>
      </c>
    </row>
    <row r="36" spans="1:1">
      <c r="A36" t="s">
        <v>592</v>
      </c>
    </row>
    <row r="37" spans="1:1">
      <c r="A37" t="s">
        <v>593</v>
      </c>
    </row>
    <row r="38" spans="1:1">
      <c r="A38" t="s">
        <v>594</v>
      </c>
    </row>
    <row r="39" spans="1:1">
      <c r="A39" t="s">
        <v>595</v>
      </c>
    </row>
    <row r="40" spans="1:1">
      <c r="A40" t="s">
        <v>596</v>
      </c>
    </row>
    <row r="41" spans="1:1">
      <c r="A41" t="s">
        <v>597</v>
      </c>
    </row>
    <row r="42" spans="1:1">
      <c r="A42" t="s">
        <v>598</v>
      </c>
    </row>
    <row r="43" spans="1:1">
      <c r="A43" t="s">
        <v>599</v>
      </c>
    </row>
    <row r="44" spans="1:1">
      <c r="A44" t="s">
        <v>600</v>
      </c>
    </row>
    <row r="45" spans="1:1">
      <c r="A45" t="s">
        <v>601</v>
      </c>
    </row>
    <row r="46" spans="1:1">
      <c r="A46" t="s">
        <v>602</v>
      </c>
    </row>
    <row r="47" spans="1:1">
      <c r="A47" t="s">
        <v>603</v>
      </c>
    </row>
    <row r="48" spans="1:1">
      <c r="A48" t="s">
        <v>604</v>
      </c>
    </row>
    <row r="49" spans="1:1">
      <c r="A49" t="s">
        <v>605</v>
      </c>
    </row>
    <row r="50" spans="1:1">
      <c r="A50" t="s">
        <v>606</v>
      </c>
    </row>
    <row r="51" spans="1:1">
      <c r="A51" t="s">
        <v>607</v>
      </c>
    </row>
    <row r="52" spans="1:1">
      <c r="A52" t="s">
        <v>608</v>
      </c>
    </row>
    <row r="53" spans="1:1">
      <c r="A53" t="s">
        <v>609</v>
      </c>
    </row>
    <row r="54" spans="1:1">
      <c r="A54" t="s">
        <v>610</v>
      </c>
    </row>
    <row r="55" spans="1:1">
      <c r="A55" t="s">
        <v>611</v>
      </c>
    </row>
    <row r="56" spans="1:1">
      <c r="A56" t="s">
        <v>612</v>
      </c>
    </row>
    <row r="57" spans="1:1">
      <c r="A57" t="s">
        <v>613</v>
      </c>
    </row>
    <row r="58" spans="1:1">
      <c r="A58" t="s">
        <v>614</v>
      </c>
    </row>
    <row r="59" spans="1:1">
      <c r="A59" t="s">
        <v>615</v>
      </c>
    </row>
    <row r="60" spans="1:1">
      <c r="A60" t="s">
        <v>616</v>
      </c>
    </row>
    <row r="61" spans="1:1">
      <c r="A61" t="s">
        <v>617</v>
      </c>
    </row>
    <row r="62" spans="1:1">
      <c r="A62" t="s">
        <v>618</v>
      </c>
    </row>
    <row r="63" spans="1:2">
      <c r="A63" t="s">
        <v>619</v>
      </c>
      <c r="B63" t="s">
        <v>620</v>
      </c>
    </row>
    <row r="64" spans="1:1">
      <c r="A64" t="s">
        <v>621</v>
      </c>
    </row>
    <row r="65" spans="1:2">
      <c r="A65" t="s">
        <v>622</v>
      </c>
      <c r="B65" t="s">
        <v>623</v>
      </c>
    </row>
  </sheetData>
  <pageMargins left="0.7" right="0.7" top="0.75" bottom="0.75" header="0.3" footer="0.3"/>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79998168889431442"/>
    <pageSetUpPr fitToPage="1"/>
  </sheetPr>
  <dimension ref="A1:N17"/>
  <sheetViews>
    <sheetView topLeftCell="A6" zoomScale="115" view="normal" workbookViewId="0">
      <selection pane="topLeft" activeCell="E8" sqref="E8:M8"/>
    </sheetView>
  </sheetViews>
  <sheetFormatPr defaultRowHeight="13.2"/>
  <cols>
    <col min="2" max="2" width="1.28515625" customWidth="1"/>
    <col min="3" max="3" width="6.7109375" customWidth="1"/>
    <col min="4" max="4" width="7.5703125" customWidth="1"/>
    <col min="6" max="6" width="10.5703125" customWidth="1"/>
    <col min="13" max="13" width="16.5703125" customWidth="1"/>
    <col min="14" max="14" width="1.42578125" customWidth="1"/>
  </cols>
  <sheetData>
    <row r="1" spans="1:1" ht="13.8">
      <c r="A1" s="40" t="s">
        <v>228</v>
      </c>
    </row>
    <row r="2" ht="9.6" customHeight="1" thickBot="1"/>
    <row r="3" spans="2:14" ht="7.2" customHeight="1">
      <c r="B3" s="1"/>
      <c r="C3" s="2"/>
      <c r="D3" s="2"/>
      <c r="E3" s="2"/>
      <c r="F3" s="2"/>
      <c r="G3" s="2"/>
      <c r="H3" s="2"/>
      <c r="I3" s="2"/>
      <c r="J3" s="2"/>
      <c r="K3" s="2"/>
      <c r="L3" s="2"/>
      <c r="M3" s="2"/>
      <c r="N3" s="3"/>
    </row>
    <row r="4" spans="2:14" ht="15.6">
      <c r="B4" s="4"/>
      <c r="C4" s="429" t="s">
        <v>229</v>
      </c>
      <c r="D4" s="430"/>
      <c r="E4" s="430"/>
      <c r="F4" s="431"/>
      <c r="G4" s="415"/>
      <c r="H4" s="416"/>
      <c r="I4" s="416"/>
      <c r="J4" s="416"/>
      <c r="K4" s="416"/>
      <c r="L4" s="416"/>
      <c r="M4" s="417"/>
      <c r="N4" s="6"/>
    </row>
    <row r="5" spans="2:14" ht="15.6">
      <c r="B5" s="4"/>
      <c r="C5" s="225"/>
      <c r="D5" s="222"/>
      <c r="E5" s="226"/>
      <c r="F5" s="222"/>
      <c r="G5" s="222"/>
      <c r="H5" s="222"/>
      <c r="I5" s="222"/>
      <c r="J5" s="222"/>
      <c r="K5" s="222"/>
      <c r="L5" s="222"/>
      <c r="M5" s="222"/>
      <c r="N5" s="6"/>
    </row>
    <row r="6" spans="2:14" ht="91.5" customHeight="1">
      <c r="B6" s="4"/>
      <c r="C6" s="427" t="s">
        <v>230</v>
      </c>
      <c r="D6" s="428"/>
      <c r="E6" s="432"/>
      <c r="F6" s="433"/>
      <c r="G6" s="433"/>
      <c r="H6" s="433"/>
      <c r="I6" s="433"/>
      <c r="J6" s="433"/>
      <c r="K6" s="433"/>
      <c r="L6" s="433"/>
      <c r="M6" s="434"/>
      <c r="N6" s="6"/>
    </row>
    <row r="7" spans="2:14" ht="15.6">
      <c r="B7" s="4"/>
      <c r="C7" s="225"/>
      <c r="D7" s="222"/>
      <c r="E7" s="226"/>
      <c r="F7" s="222"/>
      <c r="G7" s="222"/>
      <c r="H7" s="222"/>
      <c r="I7" s="222"/>
      <c r="J7" s="222"/>
      <c r="K7" s="222"/>
      <c r="L7" s="222"/>
      <c r="M7" s="222"/>
      <c r="N7" s="6"/>
    </row>
    <row r="8" spans="2:14" ht="99.6" customHeight="1">
      <c r="B8" s="4"/>
      <c r="C8" s="427" t="s">
        <v>231</v>
      </c>
      <c r="D8" s="428"/>
      <c r="E8" s="432" t="s">
        <v>232</v>
      </c>
      <c r="F8" s="433"/>
      <c r="G8" s="433"/>
      <c r="H8" s="433"/>
      <c r="I8" s="433"/>
      <c r="J8" s="433"/>
      <c r="K8" s="433"/>
      <c r="L8" s="433"/>
      <c r="M8" s="434"/>
      <c r="N8" s="6"/>
    </row>
    <row r="9" spans="2:14" ht="15.6">
      <c r="B9" s="4"/>
      <c r="C9" s="225"/>
      <c r="D9" s="222"/>
      <c r="E9" s="226"/>
      <c r="F9" s="222"/>
      <c r="G9" s="222"/>
      <c r="H9" s="222"/>
      <c r="I9" s="222"/>
      <c r="J9" s="222"/>
      <c r="K9" s="222"/>
      <c r="L9" s="222"/>
      <c r="M9" s="222"/>
      <c r="N9" s="6"/>
    </row>
    <row r="10" spans="2:14" ht="15.6">
      <c r="B10" s="4"/>
      <c r="C10" s="227" t="s">
        <v>233</v>
      </c>
      <c r="D10" s="415"/>
      <c r="E10" s="416"/>
      <c r="F10" s="416"/>
      <c r="G10" s="416"/>
      <c r="H10" s="416"/>
      <c r="I10" s="416"/>
      <c r="J10" s="416"/>
      <c r="K10" s="416"/>
      <c r="L10" s="416"/>
      <c r="M10" s="417"/>
      <c r="N10" s="6"/>
    </row>
    <row r="11" spans="2:14" ht="15.6">
      <c r="B11" s="4"/>
      <c r="C11" s="222"/>
      <c r="D11" s="222"/>
      <c r="E11" s="222"/>
      <c r="F11" s="222"/>
      <c r="G11" s="222"/>
      <c r="H11" s="222"/>
      <c r="I11" s="222"/>
      <c r="J11" s="222"/>
      <c r="K11" s="222"/>
      <c r="L11" s="222"/>
      <c r="M11" s="222"/>
      <c r="N11" s="6"/>
    </row>
    <row r="12" spans="2:14" ht="15.6">
      <c r="B12" s="4"/>
      <c r="C12" s="429" t="s">
        <v>234</v>
      </c>
      <c r="D12" s="430"/>
      <c r="E12" s="430"/>
      <c r="F12" s="430"/>
      <c r="G12" s="430"/>
      <c r="H12" s="430"/>
      <c r="I12" s="430"/>
      <c r="J12" s="430"/>
      <c r="K12" s="430"/>
      <c r="L12" s="430"/>
      <c r="M12" s="431"/>
      <c r="N12" s="6"/>
    </row>
    <row r="13" spans="2:14">
      <c r="B13" s="4"/>
      <c r="C13" s="418"/>
      <c r="D13" s="419"/>
      <c r="E13" s="419"/>
      <c r="F13" s="419"/>
      <c r="G13" s="419"/>
      <c r="H13" s="419"/>
      <c r="I13" s="419"/>
      <c r="J13" s="419"/>
      <c r="K13" s="419"/>
      <c r="L13" s="419"/>
      <c r="M13" s="420"/>
      <c r="N13" s="6"/>
    </row>
    <row r="14" spans="2:14">
      <c r="B14" s="4"/>
      <c r="C14" s="421"/>
      <c r="D14" s="422"/>
      <c r="E14" s="422"/>
      <c r="F14" s="422"/>
      <c r="G14" s="422"/>
      <c r="H14" s="422"/>
      <c r="I14" s="422"/>
      <c r="J14" s="422"/>
      <c r="K14" s="422"/>
      <c r="L14" s="422"/>
      <c r="M14" s="423"/>
      <c r="N14" s="6"/>
    </row>
    <row r="15" spans="2:14">
      <c r="B15" s="4"/>
      <c r="C15" s="421"/>
      <c r="D15" s="422"/>
      <c r="E15" s="422"/>
      <c r="F15" s="422"/>
      <c r="G15" s="422"/>
      <c r="H15" s="422"/>
      <c r="I15" s="422"/>
      <c r="J15" s="422"/>
      <c r="K15" s="422"/>
      <c r="L15" s="422"/>
      <c r="M15" s="423"/>
      <c r="N15" s="6"/>
    </row>
    <row r="16" spans="2:14" ht="71.1" customHeight="1">
      <c r="B16" s="4"/>
      <c r="C16" s="424"/>
      <c r="D16" s="425"/>
      <c r="E16" s="425"/>
      <c r="F16" s="425"/>
      <c r="G16" s="425"/>
      <c r="H16" s="425"/>
      <c r="I16" s="425"/>
      <c r="J16" s="425"/>
      <c r="K16" s="425"/>
      <c r="L16" s="425"/>
      <c r="M16" s="426"/>
      <c r="N16" s="6"/>
    </row>
    <row r="17" spans="2:14" ht="7.2" customHeight="1" thickBot="1">
      <c r="B17" s="7"/>
      <c r="C17" s="8"/>
      <c r="D17" s="8"/>
      <c r="E17" s="8"/>
      <c r="F17" s="8"/>
      <c r="G17" s="8"/>
      <c r="H17" s="8"/>
      <c r="I17" s="8"/>
      <c r="J17" s="8"/>
      <c r="K17" s="8"/>
      <c r="L17" s="8"/>
      <c r="M17" s="8"/>
      <c r="N17" s="9"/>
    </row>
  </sheetData>
  <sheetProtection algorithmName="SHA-512" hashValue="MlrhyTcwjVkK0KMwfUPdHLOLO3P3d2RgdgUAD+doGpjQCsvg4ipOry44/OugRLuZWwpqIC+868VK5ABoE4k4tw==" saltValue="c+VL2rZFdvhBdytk+9ScHQ==" spinCount="100000" sheet="1" objects="1" scenarios="1" selectLockedCells="1"/>
  <mergeCells count="9">
    <mergeCell ref="G4:M4"/>
    <mergeCell ref="D10:M10"/>
    <mergeCell ref="C13:M16"/>
    <mergeCell ref="C6:D6"/>
    <mergeCell ref="C12:M12"/>
    <mergeCell ref="C8:D8"/>
    <mergeCell ref="E6:M6"/>
    <mergeCell ref="E8:M8"/>
    <mergeCell ref="C4:F4"/>
  </mergeCells>
  <pageMargins left="0.70866141732283472" right="0.70866141732283472" top="0.74803149606299213" bottom="0.74803149606299213" header="0.31496062992125984" footer="0.31496062992125984"/>
  <pageSetup paperSize="9" scale="80" orientation="portrait"/>
  <headerFooter scaleWithDoc="1" alignWithMargins="1" differentFirst="0" differentOddEven="0">
    <oddHeader>&amp;LPhosphate Budget Calculator&amp;CProject Title</oddHeader>
    <oddFooter>&amp;LVersion 2.2&amp;R&amp;D</oddFooter>
  </headerFooter>
  <customProperties>
    <customPr name="SSC_SHEET_GUID" r:id="rId2"/>
  </customProperties>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AX72"/>
  <sheetViews>
    <sheetView topLeftCell="A34" zoomScale="77" view="normal" tabSelected="1" workbookViewId="0">
      <selection pane="topLeft" activeCell="V11" sqref="V11"/>
    </sheetView>
  </sheetViews>
  <sheetFormatPr defaultRowHeight="13.2"/>
  <cols>
    <col min="2" max="2" width="2.27734375" customWidth="1"/>
    <col min="3" max="3" width="2.41796875" customWidth="1"/>
    <col min="4" max="4" width="8.7109375" customWidth="1"/>
    <col min="5" max="5" width="13.7109375" customWidth="1"/>
    <col min="7" max="7" width="11.7109375" customWidth="1"/>
    <col min="8" max="8" width="1.7109375" customWidth="1"/>
    <col min="9" max="9" width="3.27734375" customWidth="1"/>
    <col min="10" max="10" width="7" customWidth="1"/>
    <col min="11" max="11" width="31.41796875" customWidth="1"/>
    <col min="12" max="12" width="16.5703125" customWidth="1"/>
    <col min="13" max="13" width="16.7109375" customWidth="1"/>
    <col min="14" max="14" width="10.140625" customWidth="1"/>
    <col min="15" max="15" width="5.5703125" customWidth="1"/>
    <col min="16" max="16" width="0.56640625" customWidth="1"/>
    <col min="17" max="17" width="4.27734375" hidden="1" customWidth="1"/>
    <col min="18" max="18" width="3.27734375" customWidth="1"/>
    <col min="19" max="19" width="2.7109375" customWidth="1"/>
    <col min="20" max="20" width="4.5703125" customWidth="1"/>
    <col min="21" max="21" width="9.7109375" bestFit="1" customWidth="1"/>
    <col min="24" max="24" width="18.7109375" customWidth="1"/>
    <col min="25" max="25" width="1.42578125" customWidth="1"/>
    <col min="26" max="26" width="0.70703125" customWidth="1"/>
    <col min="27" max="27" width="15.27734375" customWidth="1"/>
    <col min="28" max="28" width="2.7109375" customWidth="1"/>
    <col min="29" max="29" width="4" customWidth="1"/>
    <col min="30" max="30" width="30.27734375" customWidth="1"/>
    <col min="31" max="31" width="11.27734375" customWidth="1"/>
    <col min="32" max="32" width="0.70703125" customWidth="1"/>
    <col min="33" max="33" width="6.7109375" customWidth="1"/>
    <col min="34" max="35" width="1.28515625" customWidth="1"/>
  </cols>
  <sheetData>
    <row r="1" spans="1:1" ht="14.4" thickBot="1">
      <c r="A1" s="40" t="s">
        <v>23</v>
      </c>
    </row>
    <row r="2" spans="3:35" ht="3.6" customHeight="1">
      <c r="C2" s="40"/>
      <c r="D2" s="40"/>
      <c r="E2" s="40"/>
      <c r="F2" s="40"/>
      <c r="G2" s="40"/>
      <c r="H2" s="43"/>
      <c r="I2" s="44"/>
      <c r="J2" s="44"/>
      <c r="K2" s="44"/>
      <c r="L2" s="44"/>
      <c r="M2" s="44"/>
      <c r="N2" s="44"/>
      <c r="O2" s="44"/>
      <c r="P2" s="44"/>
      <c r="Q2" s="44"/>
      <c r="R2" s="44"/>
      <c r="S2" s="44"/>
      <c r="T2" s="44"/>
      <c r="U2" s="44"/>
      <c r="V2" s="44"/>
      <c r="W2" s="44"/>
      <c r="X2" s="44"/>
      <c r="Y2" s="44"/>
      <c r="Z2" s="45"/>
      <c r="AA2" s="40"/>
      <c r="AB2" s="40"/>
      <c r="AC2" s="40"/>
      <c r="AD2" s="40"/>
      <c r="AE2" s="40"/>
      <c r="AF2" s="40"/>
      <c r="AG2" s="40"/>
      <c r="AH2" s="40"/>
      <c r="AI2" s="40"/>
    </row>
    <row r="3" spans="3:35" ht="38.7" customHeight="1">
      <c r="C3" s="40"/>
      <c r="D3" s="224"/>
      <c r="E3" s="224"/>
      <c r="F3" s="224"/>
      <c r="G3" s="224"/>
      <c r="H3" s="228"/>
      <c r="I3" s="141" t="s">
        <v>235</v>
      </c>
      <c r="J3" s="141"/>
      <c r="K3" s="229" t="s">
        <v>236</v>
      </c>
      <c r="L3" s="229"/>
      <c r="M3" s="229"/>
      <c r="N3" s="229"/>
      <c r="O3" s="229"/>
      <c r="P3" s="229"/>
      <c r="Q3" s="229"/>
      <c r="R3" s="229"/>
      <c r="S3" s="229"/>
      <c r="T3" s="229"/>
      <c r="U3" s="229"/>
      <c r="V3" s="229"/>
      <c r="W3" s="229"/>
      <c r="X3" s="229"/>
      <c r="Y3" s="229"/>
      <c r="Z3" s="230"/>
      <c r="AA3" s="224"/>
      <c r="AB3" s="224"/>
      <c r="AC3" s="224"/>
      <c r="AD3" s="224"/>
      <c r="AE3" s="224"/>
      <c r="AF3" s="224"/>
      <c r="AG3" s="224"/>
      <c r="AH3" s="224"/>
      <c r="AI3" s="40"/>
    </row>
    <row r="4" spans="3:35" ht="12.6" customHeight="1">
      <c r="C4" s="40"/>
      <c r="D4" s="224"/>
      <c r="E4" s="224"/>
      <c r="F4" s="224"/>
      <c r="G4" s="224"/>
      <c r="H4" s="228"/>
      <c r="I4" s="232" t="s">
        <v>237</v>
      </c>
      <c r="J4" s="232"/>
      <c r="K4" s="232"/>
      <c r="L4" s="232"/>
      <c r="M4" s="232"/>
      <c r="N4" s="232"/>
      <c r="O4" s="232"/>
      <c r="P4" s="232"/>
      <c r="Q4" s="232"/>
      <c r="R4" s="232"/>
      <c r="S4" s="232"/>
      <c r="T4" s="232"/>
      <c r="U4" s="232"/>
      <c r="V4" s="232"/>
      <c r="W4" s="232"/>
      <c r="X4" s="232"/>
      <c r="Y4" s="231"/>
      <c r="Z4" s="230"/>
      <c r="AA4" s="224"/>
      <c r="AB4" s="224"/>
      <c r="AC4" s="224"/>
      <c r="AD4" s="224"/>
      <c r="AE4" s="224"/>
      <c r="AF4" s="224"/>
      <c r="AG4" s="224"/>
      <c r="AH4" s="224"/>
      <c r="AI4" s="40"/>
    </row>
    <row r="5" spans="3:35" ht="15.6">
      <c r="C5" s="40"/>
      <c r="D5" s="224"/>
      <c r="E5" s="224"/>
      <c r="F5" s="224"/>
      <c r="G5" s="224"/>
      <c r="H5" s="228"/>
      <c r="I5" s="232"/>
      <c r="J5" s="232"/>
      <c r="K5" s="232"/>
      <c r="L5" s="232"/>
      <c r="M5" s="232"/>
      <c r="N5" s="232"/>
      <c r="O5" s="232"/>
      <c r="P5" s="232"/>
      <c r="Q5" s="232"/>
      <c r="R5" s="232"/>
      <c r="S5" s="232"/>
      <c r="T5" s="232"/>
      <c r="U5" s="232"/>
      <c r="V5" s="232"/>
      <c r="W5" s="232"/>
      <c r="X5" s="232"/>
      <c r="Y5" s="231"/>
      <c r="Z5" s="230"/>
      <c r="AA5" s="224"/>
      <c r="AB5" s="224"/>
      <c r="AC5" s="224"/>
      <c r="AD5" s="224"/>
      <c r="AE5" s="224"/>
      <c r="AF5" s="224"/>
      <c r="AG5" s="224"/>
      <c r="AH5" s="224"/>
      <c r="AI5" s="40"/>
    </row>
    <row r="6" spans="3:35" ht="72" customHeight="1">
      <c r="C6" s="40"/>
      <c r="D6" s="224"/>
      <c r="E6" s="224"/>
      <c r="F6" s="224"/>
      <c r="G6" s="224"/>
      <c r="H6" s="228"/>
      <c r="I6" s="264"/>
      <c r="J6" s="264"/>
      <c r="K6" s="264"/>
      <c r="L6" s="264"/>
      <c r="M6" s="264"/>
      <c r="N6" s="264"/>
      <c r="O6" s="264"/>
      <c r="P6" s="264"/>
      <c r="Q6" s="264"/>
      <c r="R6" s="264"/>
      <c r="S6" s="264"/>
      <c r="T6" s="264"/>
      <c r="U6" s="264"/>
      <c r="V6" s="264"/>
      <c r="W6" s="264"/>
      <c r="X6" s="264"/>
      <c r="Y6" s="231"/>
      <c r="Z6" s="230"/>
      <c r="AA6" s="224"/>
      <c r="AB6" s="224"/>
      <c r="AC6" s="224"/>
      <c r="AD6" s="224"/>
      <c r="AE6" s="224"/>
      <c r="AF6" s="224"/>
      <c r="AG6" s="224"/>
      <c r="AH6" s="224"/>
      <c r="AI6" s="40"/>
    </row>
    <row r="7" spans="3:35" ht="4.2" customHeight="1">
      <c r="C7" s="40"/>
      <c r="D7" s="224"/>
      <c r="E7" s="224"/>
      <c r="F7" s="224"/>
      <c r="G7" s="224"/>
      <c r="H7" s="228"/>
      <c r="I7" s="49"/>
      <c r="J7" s="49"/>
      <c r="K7" s="49"/>
      <c r="L7" s="49"/>
      <c r="M7" s="232"/>
      <c r="N7" s="232"/>
      <c r="O7" s="232"/>
      <c r="P7" s="232"/>
      <c r="Q7" s="232"/>
      <c r="R7" s="232"/>
      <c r="S7" s="232"/>
      <c r="T7" s="232"/>
      <c r="U7" s="232"/>
      <c r="V7" s="232"/>
      <c r="W7" s="232"/>
      <c r="X7" s="232"/>
      <c r="Y7" s="232"/>
      <c r="Z7" s="230"/>
      <c r="AA7" s="224"/>
      <c r="AB7" s="224"/>
      <c r="AC7" s="224"/>
      <c r="AD7" s="224"/>
      <c r="AE7" s="224"/>
      <c r="AF7" s="224"/>
      <c r="AG7" s="224"/>
      <c r="AH7" s="224"/>
      <c r="AI7" s="40"/>
    </row>
    <row r="8" spans="3:35" ht="15.6">
      <c r="C8" s="40"/>
      <c r="D8" s="224"/>
      <c r="E8" s="224"/>
      <c r="F8" s="224"/>
      <c r="G8" s="224"/>
      <c r="H8" s="228"/>
      <c r="I8" s="49"/>
      <c r="J8" s="48" t="s">
        <v>238</v>
      </c>
      <c r="K8" s="138" t="s">
        <v>239</v>
      </c>
      <c r="L8" s="138"/>
      <c r="M8" s="138"/>
      <c r="N8" s="138"/>
      <c r="O8" s="138"/>
      <c r="P8" s="138"/>
      <c r="Q8" s="138"/>
      <c r="R8" s="138"/>
      <c r="S8" s="138"/>
      <c r="T8" s="138"/>
      <c r="U8" s="138"/>
      <c r="V8" s="140" t="s">
        <v>240</v>
      </c>
      <c r="W8" s="140"/>
      <c r="X8" s="140" t="s">
        <v>241</v>
      </c>
      <c r="Y8" s="222"/>
      <c r="Z8" s="230"/>
      <c r="AA8" s="224"/>
      <c r="AB8" s="224"/>
      <c r="AC8" s="224"/>
      <c r="AD8" s="224"/>
      <c r="AE8" s="224"/>
      <c r="AF8" s="224"/>
      <c r="AG8" s="224"/>
      <c r="AH8" s="224"/>
      <c r="AI8" s="40"/>
    </row>
    <row r="9" spans="3:35" ht="3.6" customHeight="1">
      <c r="C9" s="40"/>
      <c r="D9" s="224"/>
      <c r="E9" s="224"/>
      <c r="F9" s="224"/>
      <c r="G9" s="224"/>
      <c r="H9" s="228"/>
      <c r="I9" s="49"/>
      <c r="J9" s="49"/>
      <c r="K9" s="49"/>
      <c r="L9" s="49"/>
      <c r="M9" s="49"/>
      <c r="N9" s="49"/>
      <c r="O9" s="49"/>
      <c r="P9" s="49"/>
      <c r="Q9" s="49"/>
      <c r="R9" s="49"/>
      <c r="S9" s="49"/>
      <c r="T9" s="49"/>
      <c r="U9" s="49"/>
      <c r="V9" s="49"/>
      <c r="W9" s="49"/>
      <c r="X9" s="49"/>
      <c r="Y9" s="222"/>
      <c r="Z9" s="230"/>
      <c r="AA9" s="224"/>
      <c r="AB9" s="224"/>
      <c r="AC9" s="224"/>
      <c r="AD9" s="224"/>
      <c r="AE9" s="224"/>
      <c r="AF9" s="224"/>
      <c r="AG9" s="224"/>
      <c r="AH9" s="224"/>
      <c r="AI9" s="40"/>
    </row>
    <row r="10" spans="3:35" ht="3.6" customHeight="1">
      <c r="C10" s="40"/>
      <c r="D10" s="224"/>
      <c r="E10" s="224"/>
      <c r="F10" s="224"/>
      <c r="G10" s="224"/>
      <c r="H10" s="228"/>
      <c r="I10" s="49"/>
      <c r="J10" s="49"/>
      <c r="K10" s="49"/>
      <c r="L10" s="49"/>
      <c r="M10" s="49"/>
      <c r="N10" s="49"/>
      <c r="O10" s="49"/>
      <c r="P10" s="49"/>
      <c r="Q10" s="49"/>
      <c r="R10" s="49"/>
      <c r="S10" s="49"/>
      <c r="T10" s="49"/>
      <c r="U10" s="49"/>
      <c r="V10" s="49"/>
      <c r="W10" s="49"/>
      <c r="X10" s="49"/>
      <c r="Y10" s="222"/>
      <c r="Z10" s="230"/>
      <c r="AA10" s="224"/>
      <c r="AB10" s="224"/>
      <c r="AC10" s="224"/>
      <c r="AD10" s="224"/>
      <c r="AE10" s="224"/>
      <c r="AF10" s="224"/>
      <c r="AG10" s="224"/>
      <c r="AH10" s="224"/>
      <c r="AI10" s="40"/>
    </row>
    <row r="11" spans="3:35" ht="15.6">
      <c r="C11" s="40"/>
      <c r="D11" s="224"/>
      <c r="E11" s="224"/>
      <c r="F11" s="224"/>
      <c r="G11" s="224"/>
      <c r="H11" s="228"/>
      <c r="I11" s="49"/>
      <c r="J11" s="49" t="s">
        <v>242</v>
      </c>
      <c r="K11" s="138" t="s">
        <v>243</v>
      </c>
      <c r="L11" s="138"/>
      <c r="M11" s="138"/>
      <c r="N11" s="138"/>
      <c r="O11" s="138"/>
      <c r="P11" s="138"/>
      <c r="Q11" s="138"/>
      <c r="R11" s="138"/>
      <c r="S11" s="138"/>
      <c r="T11" s="138"/>
      <c r="U11" s="138"/>
      <c r="V11" s="233"/>
      <c r="W11" s="140"/>
      <c r="X11" s="235" t="s">
        <v>244</v>
      </c>
      <c r="Y11" s="222"/>
      <c r="Z11" s="230"/>
      <c r="AA11" s="224"/>
      <c r="AB11" s="224"/>
      <c r="AC11" s="224"/>
      <c r="AD11" s="236"/>
      <c r="AE11" s="236"/>
      <c r="AF11" s="224"/>
      <c r="AG11" s="224"/>
      <c r="AH11" s="224"/>
      <c r="AI11" s="40"/>
    </row>
    <row r="12" spans="3:35" ht="15.6">
      <c r="C12" s="40"/>
      <c r="D12" s="224"/>
      <c r="E12" s="224"/>
      <c r="F12" s="224"/>
      <c r="G12" s="224"/>
      <c r="H12" s="228"/>
      <c r="I12" s="49"/>
      <c r="J12" s="49"/>
      <c r="K12" s="138" t="s">
        <v>245</v>
      </c>
      <c r="L12" s="138"/>
      <c r="M12" s="138"/>
      <c r="N12" s="138"/>
      <c r="O12" s="237"/>
      <c r="P12" s="237"/>
      <c r="Q12" s="237"/>
      <c r="R12" s="49"/>
      <c r="S12" s="49"/>
      <c r="T12" s="49"/>
      <c r="U12" s="49"/>
      <c r="V12" s="262">
        <v>1.88</v>
      </c>
      <c r="W12" s="140"/>
      <c r="X12" s="239" t="s">
        <v>246</v>
      </c>
      <c r="Y12" s="222"/>
      <c r="Z12" s="230"/>
      <c r="AA12" s="224"/>
      <c r="AB12" s="224"/>
      <c r="AC12" s="224"/>
      <c r="AD12" s="236"/>
      <c r="AE12" s="236"/>
      <c r="AF12" s="224"/>
      <c r="AG12" s="224"/>
      <c r="AH12" s="224"/>
      <c r="AI12" s="40"/>
    </row>
    <row r="13" spans="3:35" ht="15.6">
      <c r="C13" s="40"/>
      <c r="D13" s="224"/>
      <c r="E13" s="224"/>
      <c r="F13" s="224"/>
      <c r="G13" s="224"/>
      <c r="H13" s="228"/>
      <c r="I13" s="49"/>
      <c r="J13" s="49"/>
      <c r="K13" s="138"/>
      <c r="L13" s="138"/>
      <c r="M13" s="138"/>
      <c r="N13" s="138"/>
      <c r="O13" s="237"/>
      <c r="P13" s="237"/>
      <c r="Q13" s="237"/>
      <c r="R13" s="49"/>
      <c r="S13" s="49"/>
      <c r="T13" s="49"/>
      <c r="U13" s="49"/>
      <c r="V13" s="140"/>
      <c r="W13" s="140"/>
      <c r="X13" s="239"/>
      <c r="Y13" s="222"/>
      <c r="Z13" s="230"/>
      <c r="AA13" s="224"/>
      <c r="AB13" s="224"/>
      <c r="AC13" s="224"/>
      <c r="AD13" s="236"/>
      <c r="AE13" s="236"/>
      <c r="AF13" s="224"/>
      <c r="AG13" s="224"/>
      <c r="AH13" s="224"/>
      <c r="AI13" s="40"/>
    </row>
    <row r="14" spans="3:35" ht="26.7" customHeight="1">
      <c r="C14" s="40"/>
      <c r="D14" s="224"/>
      <c r="E14" s="224"/>
      <c r="F14" s="224"/>
      <c r="G14" s="224"/>
      <c r="H14" s="228"/>
      <c r="I14" s="49"/>
      <c r="J14" s="49" t="s">
        <v>247</v>
      </c>
      <c r="K14" s="139" t="s">
        <v>248</v>
      </c>
      <c r="L14" s="139"/>
      <c r="M14" s="139"/>
      <c r="N14" s="139"/>
      <c r="O14" s="139"/>
      <c r="P14" s="139"/>
      <c r="Q14" s="139"/>
      <c r="R14" s="139"/>
      <c r="S14" s="139"/>
      <c r="T14" s="139"/>
      <c r="U14" s="139"/>
      <c r="V14" s="233"/>
      <c r="W14" s="140"/>
      <c r="X14" s="235" t="s">
        <v>244</v>
      </c>
      <c r="Y14" s="222"/>
      <c r="Z14" s="230"/>
      <c r="AA14" s="224"/>
      <c r="AB14" s="224"/>
      <c r="AC14" s="224"/>
      <c r="AD14" s="236"/>
      <c r="AE14" s="236"/>
      <c r="AF14" s="224"/>
      <c r="AG14" s="224"/>
      <c r="AH14" s="224"/>
      <c r="AI14" s="40"/>
    </row>
    <row r="15" spans="3:35" ht="15.6">
      <c r="C15" s="40"/>
      <c r="D15" s="224"/>
      <c r="E15" s="224"/>
      <c r="F15" s="224"/>
      <c r="G15" s="224"/>
      <c r="H15" s="228"/>
      <c r="I15" s="49"/>
      <c r="J15" s="49"/>
      <c r="K15" s="138" t="s">
        <v>245</v>
      </c>
      <c r="L15" s="138"/>
      <c r="M15" s="138"/>
      <c r="N15" s="138"/>
      <c r="O15" s="138"/>
      <c r="P15" s="138"/>
      <c r="Q15" s="138"/>
      <c r="R15" s="138"/>
      <c r="S15" s="138"/>
      <c r="T15" s="138"/>
      <c r="U15" s="138"/>
      <c r="V15" s="238">
        <v>1.65</v>
      </c>
      <c r="W15" s="140"/>
      <c r="X15" s="239" t="s">
        <v>246</v>
      </c>
      <c r="Y15" s="222"/>
      <c r="Z15" s="230"/>
      <c r="AA15" s="224"/>
      <c r="AB15" s="224"/>
      <c r="AC15" s="224"/>
      <c r="AD15" s="236"/>
      <c r="AE15" s="236"/>
      <c r="AF15" s="224"/>
      <c r="AG15" s="224"/>
      <c r="AH15" s="224"/>
      <c r="AI15" s="40"/>
    </row>
    <row r="16" spans="3:35" ht="15.6">
      <c r="C16" s="40"/>
      <c r="D16" s="224"/>
      <c r="E16" s="224"/>
      <c r="F16" s="224"/>
      <c r="G16" s="224"/>
      <c r="H16" s="228"/>
      <c r="I16" s="49"/>
      <c r="J16" s="49"/>
      <c r="K16" s="138"/>
      <c r="L16" s="138"/>
      <c r="M16" s="138"/>
      <c r="N16" s="138"/>
      <c r="O16" s="237"/>
      <c r="P16" s="237"/>
      <c r="Q16" s="237"/>
      <c r="R16" s="49"/>
      <c r="S16" s="49"/>
      <c r="T16" s="49"/>
      <c r="U16" s="49"/>
      <c r="V16" s="140"/>
      <c r="W16" s="140"/>
      <c r="X16" s="239"/>
      <c r="Y16" s="222"/>
      <c r="Z16" s="230"/>
      <c r="AA16" s="224"/>
      <c r="AB16" s="224"/>
      <c r="AC16" s="224"/>
      <c r="AD16" s="236"/>
      <c r="AE16" s="236"/>
      <c r="AF16" s="224"/>
      <c r="AG16" s="224"/>
      <c r="AH16" s="224"/>
      <c r="AI16" s="40"/>
    </row>
    <row r="17" spans="3:35" ht="15.6">
      <c r="C17" s="40"/>
      <c r="D17" s="224"/>
      <c r="E17" s="224"/>
      <c r="F17" s="224"/>
      <c r="G17" s="224"/>
      <c r="H17" s="228"/>
      <c r="I17" s="49"/>
      <c r="J17" s="49" t="s">
        <v>249</v>
      </c>
      <c r="K17" s="138" t="s">
        <v>250</v>
      </c>
      <c r="L17" s="138"/>
      <c r="M17" s="138"/>
      <c r="N17" s="138"/>
      <c r="O17" s="138"/>
      <c r="P17" s="138"/>
      <c r="Q17" s="138"/>
      <c r="R17" s="138"/>
      <c r="S17" s="138"/>
      <c r="T17" s="138"/>
      <c r="U17" s="138"/>
      <c r="V17" s="233"/>
      <c r="W17" s="140"/>
      <c r="X17" s="235" t="s">
        <v>244</v>
      </c>
      <c r="Y17" s="222"/>
      <c r="Z17" s="230"/>
      <c r="AA17" s="224"/>
      <c r="AB17" s="224"/>
      <c r="AC17" s="224"/>
      <c r="AD17" s="236"/>
      <c r="AE17" s="236"/>
      <c r="AF17" s="224"/>
      <c r="AG17" s="224"/>
      <c r="AH17" s="224"/>
      <c r="AI17" s="40"/>
    </row>
    <row r="18" spans="3:35" ht="15.6">
      <c r="C18" s="40"/>
      <c r="D18" s="224"/>
      <c r="E18" s="224"/>
      <c r="F18" s="224"/>
      <c r="G18" s="224"/>
      <c r="H18" s="228"/>
      <c r="I18" s="49"/>
      <c r="J18" s="49"/>
      <c r="K18" s="138" t="s">
        <v>245</v>
      </c>
      <c r="L18" s="138"/>
      <c r="M18" s="138"/>
      <c r="N18" s="138"/>
      <c r="O18" s="138"/>
      <c r="P18" s="138"/>
      <c r="Q18" s="138"/>
      <c r="R18" s="138"/>
      <c r="S18" s="138"/>
      <c r="T18" s="138"/>
      <c r="U18" s="138"/>
      <c r="V18" s="238">
        <v>1.65</v>
      </c>
      <c r="W18" s="140"/>
      <c r="X18" s="239" t="s">
        <v>246</v>
      </c>
      <c r="Y18" s="222"/>
      <c r="Z18" s="230"/>
      <c r="AA18" s="224"/>
      <c r="AB18" s="224"/>
      <c r="AC18" s="224"/>
      <c r="AD18" s="236"/>
      <c r="AE18" s="236"/>
      <c r="AF18" s="224"/>
      <c r="AG18" s="224"/>
      <c r="AH18" s="224"/>
      <c r="AI18" s="40"/>
    </row>
    <row r="19" spans="3:35" ht="15.6">
      <c r="C19" s="40"/>
      <c r="D19" s="224"/>
      <c r="E19" s="224"/>
      <c r="F19" s="224"/>
      <c r="G19" s="224"/>
      <c r="H19" s="228"/>
      <c r="I19" s="49"/>
      <c r="J19" s="49"/>
      <c r="K19" s="138" t="s">
        <v>251</v>
      </c>
      <c r="L19" s="138"/>
      <c r="M19" s="138"/>
      <c r="N19" s="138"/>
      <c r="O19" s="138"/>
      <c r="P19" s="138"/>
      <c r="Q19" s="138"/>
      <c r="R19" s="138"/>
      <c r="S19" s="138"/>
      <c r="T19" s="138"/>
      <c r="U19" s="138"/>
      <c r="V19" s="233"/>
      <c r="W19" s="140"/>
      <c r="X19" s="239" t="s">
        <v>252</v>
      </c>
      <c r="Y19" s="222"/>
      <c r="Z19" s="230"/>
      <c r="AA19" s="224"/>
      <c r="AB19" s="224"/>
      <c r="AC19" s="224"/>
      <c r="AD19" s="236"/>
      <c r="AE19" s="236"/>
      <c r="AF19" s="224"/>
      <c r="AG19" s="224"/>
      <c r="AH19" s="224"/>
      <c r="AI19" s="40"/>
    </row>
    <row r="20" spans="3:35" ht="12.6" customHeight="1">
      <c r="C20" s="40"/>
      <c r="D20" s="224"/>
      <c r="E20" s="224"/>
      <c r="F20" s="224"/>
      <c r="G20" s="224"/>
      <c r="H20" s="228"/>
      <c r="I20" s="49"/>
      <c r="J20" s="49"/>
      <c r="K20" s="138" t="s">
        <v>253</v>
      </c>
      <c r="L20" s="138"/>
      <c r="M20" s="138"/>
      <c r="N20" s="138"/>
      <c r="O20" s="138"/>
      <c r="P20" s="138"/>
      <c r="Q20" s="138"/>
      <c r="R20" s="138"/>
      <c r="S20" s="138"/>
      <c r="T20" s="138"/>
      <c r="U20" s="138"/>
      <c r="V20" s="233"/>
      <c r="W20" s="140"/>
      <c r="X20" s="235" t="s">
        <v>254</v>
      </c>
      <c r="Y20" s="222"/>
      <c r="Z20" s="230"/>
      <c r="AA20" s="224"/>
      <c r="AB20" s="224"/>
      <c r="AC20" s="224"/>
      <c r="AD20" s="236"/>
      <c r="AE20" s="236"/>
      <c r="AF20" s="224"/>
      <c r="AG20" s="224"/>
      <c r="AH20" s="224"/>
      <c r="AI20" s="40"/>
    </row>
    <row r="21" spans="3:35" ht="12.6" customHeight="1">
      <c r="C21" s="40"/>
      <c r="D21" s="224"/>
      <c r="E21" s="224"/>
      <c r="F21" s="224"/>
      <c r="G21" s="224"/>
      <c r="H21" s="228"/>
      <c r="I21" s="49"/>
      <c r="J21" s="49"/>
      <c r="K21" s="138"/>
      <c r="L21" s="138"/>
      <c r="M21" s="138"/>
      <c r="N21" s="138"/>
      <c r="O21" s="138"/>
      <c r="P21" s="138"/>
      <c r="Q21" s="138"/>
      <c r="R21" s="138"/>
      <c r="S21" s="138"/>
      <c r="T21" s="138"/>
      <c r="U21" s="138"/>
      <c r="V21" s="236"/>
      <c r="W21" s="140"/>
      <c r="X21" s="235"/>
      <c r="Y21" s="222"/>
      <c r="Z21" s="230"/>
      <c r="AA21" s="224"/>
      <c r="AB21" s="224"/>
      <c r="AC21" s="224"/>
      <c r="AD21" s="236"/>
      <c r="AE21" s="236"/>
      <c r="AF21" s="224"/>
      <c r="AG21" s="224"/>
      <c r="AH21" s="224"/>
      <c r="AI21" s="40"/>
    </row>
    <row r="22" spans="3:35" ht="12.6" customHeight="1">
      <c r="C22" s="40"/>
      <c r="D22" s="224"/>
      <c r="E22" s="224"/>
      <c r="F22" s="224"/>
      <c r="G22" s="224"/>
      <c r="H22" s="228"/>
      <c r="I22" s="49"/>
      <c r="J22" s="49" t="s">
        <v>255</v>
      </c>
      <c r="K22" s="138" t="s">
        <v>256</v>
      </c>
      <c r="L22" s="138"/>
      <c r="M22" s="138"/>
      <c r="N22" s="138"/>
      <c r="O22" s="138"/>
      <c r="P22" s="138"/>
      <c r="Q22" s="138"/>
      <c r="R22" s="138"/>
      <c r="S22" s="138"/>
      <c r="T22" s="138"/>
      <c r="U22" s="138"/>
      <c r="V22" s="233"/>
      <c r="W22" s="140"/>
      <c r="X22" s="235" t="s">
        <v>244</v>
      </c>
      <c r="Y22" s="222"/>
      <c r="Z22" s="230"/>
      <c r="AA22" s="224"/>
      <c r="AB22" s="224"/>
      <c r="AC22" s="224"/>
      <c r="AD22" s="236"/>
      <c r="AE22" s="236"/>
      <c r="AF22" s="224"/>
      <c r="AG22" s="224"/>
      <c r="AH22" s="224"/>
      <c r="AI22" s="40"/>
    </row>
    <row r="23" spans="3:35" ht="12.6" customHeight="1">
      <c r="C23" s="40"/>
      <c r="D23" s="224"/>
      <c r="E23" s="224"/>
      <c r="F23" s="224"/>
      <c r="G23" s="224"/>
      <c r="H23" s="228"/>
      <c r="I23" s="49"/>
      <c r="J23" s="49"/>
      <c r="K23" s="138" t="s">
        <v>245</v>
      </c>
      <c r="L23" s="138"/>
      <c r="M23" s="138"/>
      <c r="N23" s="138"/>
      <c r="O23" s="138"/>
      <c r="P23" s="138"/>
      <c r="Q23" s="138"/>
      <c r="R23" s="138"/>
      <c r="S23" s="138"/>
      <c r="T23" s="138"/>
      <c r="U23" s="138"/>
      <c r="V23" s="238">
        <v>1</v>
      </c>
      <c r="W23" s="140"/>
      <c r="X23" s="239" t="s">
        <v>246</v>
      </c>
      <c r="Y23" s="222"/>
      <c r="Z23" s="230"/>
      <c r="AA23" s="224"/>
      <c r="AB23" s="224"/>
      <c r="AC23" s="224"/>
      <c r="AD23" s="236"/>
      <c r="AE23" s="236"/>
      <c r="AF23" s="224"/>
      <c r="AG23" s="224"/>
      <c r="AH23" s="224"/>
      <c r="AI23" s="40"/>
    </row>
    <row r="24" spans="3:35" ht="12.6" customHeight="1">
      <c r="C24" s="40"/>
      <c r="D24" s="224"/>
      <c r="E24" s="224"/>
      <c r="F24" s="224"/>
      <c r="G24" s="224"/>
      <c r="H24" s="228"/>
      <c r="I24" s="49"/>
      <c r="J24" s="49"/>
      <c r="K24" s="138" t="s">
        <v>251</v>
      </c>
      <c r="L24" s="138"/>
      <c r="M24" s="138"/>
      <c r="N24" s="138"/>
      <c r="O24" s="138"/>
      <c r="P24" s="138"/>
      <c r="Q24" s="138"/>
      <c r="R24" s="138"/>
      <c r="S24" s="138"/>
      <c r="T24" s="138"/>
      <c r="U24" s="138"/>
      <c r="V24" s="233"/>
      <c r="W24" s="140"/>
      <c r="X24" s="239" t="s">
        <v>252</v>
      </c>
      <c r="Y24" s="222"/>
      <c r="Z24" s="230"/>
      <c r="AA24" s="224"/>
      <c r="AB24" s="224"/>
      <c r="AC24" s="224"/>
      <c r="AD24" s="236"/>
      <c r="AE24" s="236"/>
      <c r="AF24" s="224"/>
      <c r="AG24" s="224"/>
      <c r="AH24" s="224"/>
      <c r="AI24" s="40"/>
    </row>
    <row r="25" spans="3:35" ht="12.6" customHeight="1">
      <c r="C25" s="40"/>
      <c r="D25" s="224"/>
      <c r="E25" s="224"/>
      <c r="F25" s="224"/>
      <c r="G25" s="224"/>
      <c r="H25" s="228"/>
      <c r="I25" s="49"/>
      <c r="J25" s="49"/>
      <c r="K25" s="138" t="s">
        <v>253</v>
      </c>
      <c r="L25" s="138"/>
      <c r="M25" s="138"/>
      <c r="N25" s="138"/>
      <c r="O25" s="138"/>
      <c r="P25" s="138"/>
      <c r="Q25" s="138"/>
      <c r="R25" s="138"/>
      <c r="S25" s="138"/>
      <c r="T25" s="138"/>
      <c r="U25" s="138"/>
      <c r="V25" s="233"/>
      <c r="W25" s="140"/>
      <c r="X25" s="235" t="s">
        <v>254</v>
      </c>
      <c r="Y25" s="222"/>
      <c r="Z25" s="230"/>
      <c r="AA25" s="224"/>
      <c r="AB25" s="224"/>
      <c r="AC25" s="224"/>
      <c r="AD25" s="236"/>
      <c r="AE25" s="236"/>
      <c r="AF25" s="224"/>
      <c r="AG25" s="224"/>
      <c r="AH25" s="224"/>
      <c r="AI25" s="40"/>
    </row>
    <row r="26" spans="3:35" ht="12.6" customHeight="1">
      <c r="C26" s="40"/>
      <c r="D26" s="224"/>
      <c r="E26" s="224"/>
      <c r="F26" s="224"/>
      <c r="G26" s="224"/>
      <c r="H26" s="228"/>
      <c r="I26" s="49"/>
      <c r="J26" s="49"/>
      <c r="K26" s="138"/>
      <c r="L26" s="138"/>
      <c r="M26" s="138"/>
      <c r="N26" s="138"/>
      <c r="O26" s="138"/>
      <c r="P26" s="138"/>
      <c r="Q26" s="138"/>
      <c r="R26" s="138"/>
      <c r="S26" s="138"/>
      <c r="T26" s="138"/>
      <c r="U26" s="138"/>
      <c r="V26" s="236"/>
      <c r="W26" s="140"/>
      <c r="X26" s="235"/>
      <c r="Y26" s="222"/>
      <c r="Z26" s="230"/>
      <c r="AA26" s="224"/>
      <c r="AB26" s="224"/>
      <c r="AC26" s="224"/>
      <c r="AD26" s="236"/>
      <c r="AE26" s="236"/>
      <c r="AF26" s="224"/>
      <c r="AG26" s="224"/>
      <c r="AH26" s="224"/>
      <c r="AI26" s="40"/>
    </row>
    <row r="27" spans="3:35" ht="8.7" customHeight="1">
      <c r="C27" s="40"/>
      <c r="D27" s="224"/>
      <c r="E27" s="224"/>
      <c r="F27" s="224"/>
      <c r="G27" s="224"/>
      <c r="H27" s="228"/>
      <c r="I27" s="49"/>
      <c r="J27" s="49"/>
      <c r="K27" s="49"/>
      <c r="L27" s="49"/>
      <c r="M27" s="49"/>
      <c r="N27" s="49"/>
      <c r="O27" s="49"/>
      <c r="P27" s="49"/>
      <c r="Q27" s="49"/>
      <c r="R27" s="49"/>
      <c r="S27" s="49"/>
      <c r="T27" s="49"/>
      <c r="U27" s="49"/>
      <c r="V27" s="140"/>
      <c r="W27" s="140"/>
      <c r="X27" s="235"/>
      <c r="Y27" s="222"/>
      <c r="Z27" s="230"/>
      <c r="AA27" s="224"/>
      <c r="AB27" s="224"/>
      <c r="AC27" s="224"/>
      <c r="AD27" s="236"/>
      <c r="AE27" s="236"/>
      <c r="AF27" s="224"/>
      <c r="AG27" s="224"/>
      <c r="AH27" s="224"/>
      <c r="AI27" s="40"/>
    </row>
    <row r="28" spans="3:35" ht="15" customHeight="1">
      <c r="C28" s="40"/>
      <c r="D28" s="224"/>
      <c r="E28" s="224"/>
      <c r="F28" s="224"/>
      <c r="G28" s="224"/>
      <c r="H28" s="228"/>
      <c r="I28" s="49"/>
      <c r="J28" s="49"/>
      <c r="K28" s="192" t="s">
        <v>257</v>
      </c>
      <c r="L28" s="192"/>
      <c r="M28" s="192"/>
      <c r="N28" s="192"/>
      <c r="O28" s="192"/>
      <c r="P28" s="192"/>
      <c r="Q28" s="192"/>
      <c r="R28" s="192"/>
      <c r="S28" s="192"/>
      <c r="T28" s="192"/>
      <c r="U28" s="192"/>
      <c r="V28" s="343">
        <f>(V11*V12)+(IF(V14&gt;0,6+(V14*V15),0))+((V17*V18)*(V19/52)*(V20/100))+((V22*V23)*(V24/52)*(V25/100))</f>
        <v>0</v>
      </c>
      <c r="W28" s="240"/>
      <c r="X28" s="241" t="s">
        <v>258</v>
      </c>
      <c r="Y28" s="222"/>
      <c r="Z28" s="230"/>
      <c r="AA28" s="224"/>
      <c r="AB28" s="224"/>
      <c r="AC28" s="224"/>
      <c r="AD28" s="236"/>
      <c r="AE28" s="236"/>
      <c r="AF28" s="224"/>
      <c r="AG28" s="224"/>
      <c r="AH28" s="224"/>
      <c r="AI28" s="40"/>
    </row>
    <row r="29" spans="3:35" ht="15" customHeight="1">
      <c r="C29" s="40"/>
      <c r="D29" s="224"/>
      <c r="E29" s="224"/>
      <c r="F29" s="224"/>
      <c r="G29" s="224"/>
      <c r="H29" s="228"/>
      <c r="I29" s="242"/>
      <c r="J29" s="242"/>
      <c r="K29" s="243"/>
      <c r="L29" s="243"/>
      <c r="M29" s="243"/>
      <c r="N29" s="243"/>
      <c r="O29" s="243"/>
      <c r="P29" s="243"/>
      <c r="Q29" s="243"/>
      <c r="R29" s="243"/>
      <c r="S29" s="243"/>
      <c r="T29" s="243"/>
      <c r="U29" s="243"/>
      <c r="V29" s="244"/>
      <c r="W29" s="244"/>
      <c r="X29" s="245"/>
      <c r="Y29" s="222"/>
      <c r="Z29" s="230"/>
      <c r="AA29" s="224"/>
      <c r="AB29" s="224"/>
      <c r="AC29" s="224"/>
      <c r="AD29" s="236"/>
      <c r="AE29" s="236"/>
      <c r="AF29" s="224"/>
      <c r="AG29" s="224"/>
      <c r="AH29" s="224"/>
      <c r="AI29" s="40"/>
    </row>
    <row r="30" spans="3:35" ht="15" customHeight="1">
      <c r="C30" s="40"/>
      <c r="D30" s="224"/>
      <c r="E30" s="224"/>
      <c r="F30" s="224"/>
      <c r="G30" s="224"/>
      <c r="H30" s="228"/>
      <c r="I30" s="49"/>
      <c r="J30" s="49"/>
      <c r="K30" s="192"/>
      <c r="L30" s="192"/>
      <c r="M30" s="192"/>
      <c r="N30" s="192"/>
      <c r="O30" s="192"/>
      <c r="P30" s="192"/>
      <c r="Q30" s="192"/>
      <c r="R30" s="192"/>
      <c r="S30" s="192"/>
      <c r="T30" s="192"/>
      <c r="U30" s="192"/>
      <c r="V30" s="240"/>
      <c r="W30" s="240"/>
      <c r="X30" s="241"/>
      <c r="Y30" s="222"/>
      <c r="Z30" s="230"/>
      <c r="AA30" s="224"/>
      <c r="AB30" s="224"/>
      <c r="AC30" s="224"/>
      <c r="AD30" s="236"/>
      <c r="AE30" s="236"/>
      <c r="AF30" s="224"/>
      <c r="AG30" s="224"/>
      <c r="AH30" s="224"/>
      <c r="AI30" s="40"/>
    </row>
    <row r="31" spans="3:35" ht="15" customHeight="1">
      <c r="C31" s="40"/>
      <c r="D31" s="224"/>
      <c r="E31" s="224"/>
      <c r="F31" s="224"/>
      <c r="G31" s="224"/>
      <c r="H31" s="228"/>
      <c r="I31" s="49"/>
      <c r="J31" s="48" t="s">
        <v>259</v>
      </c>
      <c r="K31" s="139" t="s">
        <v>260</v>
      </c>
      <c r="L31" s="139"/>
      <c r="M31" s="139"/>
      <c r="N31" s="139"/>
      <c r="O31" s="192"/>
      <c r="P31" s="192"/>
      <c r="Q31" s="192"/>
      <c r="R31" s="192"/>
      <c r="S31" s="192"/>
      <c r="T31" s="192"/>
      <c r="U31" s="192"/>
      <c r="V31" s="240"/>
      <c r="W31" s="240"/>
      <c r="X31" s="241"/>
      <c r="Y31" s="222"/>
      <c r="Z31" s="230"/>
      <c r="AA31" s="224"/>
      <c r="AB31" s="224"/>
      <c r="AC31" s="224"/>
      <c r="AD31" s="236"/>
      <c r="AE31" s="236"/>
      <c r="AF31" s="224"/>
      <c r="AG31" s="224"/>
      <c r="AH31" s="224"/>
      <c r="AI31" s="40"/>
    </row>
    <row r="32" spans="3:35" ht="15" customHeight="1">
      <c r="C32" s="40"/>
      <c r="D32" s="224"/>
      <c r="E32" s="224"/>
      <c r="F32" s="224"/>
      <c r="G32" s="224"/>
      <c r="H32" s="228"/>
      <c r="I32" s="49"/>
      <c r="J32" s="49"/>
      <c r="K32" s="192"/>
      <c r="L32" s="192"/>
      <c r="M32" s="192"/>
      <c r="N32" s="192"/>
      <c r="O32" s="192"/>
      <c r="P32" s="192"/>
      <c r="Q32" s="192"/>
      <c r="R32" s="192"/>
      <c r="S32" s="192"/>
      <c r="T32" s="192"/>
      <c r="U32" s="192"/>
      <c r="V32" s="240"/>
      <c r="W32" s="240"/>
      <c r="X32" s="241"/>
      <c r="Y32" s="222"/>
      <c r="Z32" s="230"/>
      <c r="AA32" s="224"/>
      <c r="AB32" s="224"/>
      <c r="AC32" s="224"/>
      <c r="AD32" s="236"/>
      <c r="AE32" s="236"/>
      <c r="AF32" s="224"/>
      <c r="AG32" s="224"/>
      <c r="AH32" s="224"/>
      <c r="AI32" s="40"/>
    </row>
    <row r="33" spans="3:35" ht="15" customHeight="1">
      <c r="C33" s="40"/>
      <c r="D33" s="224"/>
      <c r="E33" s="224"/>
      <c r="F33" s="224"/>
      <c r="G33" s="224"/>
      <c r="H33" s="228"/>
      <c r="I33" s="49"/>
      <c r="J33" s="49"/>
      <c r="K33" s="138" t="s">
        <v>261</v>
      </c>
      <c r="L33" s="138"/>
      <c r="M33" s="138"/>
      <c r="N33" s="138"/>
      <c r="O33" s="192"/>
      <c r="P33" s="192"/>
      <c r="Q33" s="192"/>
      <c r="R33" s="192"/>
      <c r="S33" s="192"/>
      <c r="T33" s="192"/>
      <c r="U33" s="192"/>
      <c r="V33" s="342">
        <v>110</v>
      </c>
      <c r="W33" s="240"/>
      <c r="X33" s="239" t="s">
        <v>262</v>
      </c>
      <c r="Y33" s="239"/>
      <c r="Z33" s="230"/>
      <c r="AA33" s="224"/>
      <c r="AB33" s="224"/>
      <c r="AC33" s="224"/>
      <c r="AD33" s="236"/>
      <c r="AE33" s="236"/>
      <c r="AF33" s="224"/>
      <c r="AG33" s="224"/>
      <c r="AH33" s="224"/>
      <c r="AI33" s="40"/>
    </row>
    <row r="34" spans="3:35" ht="15" customHeight="1">
      <c r="C34" s="40"/>
      <c r="D34" s="224"/>
      <c r="E34" s="224"/>
      <c r="F34" s="224"/>
      <c r="G34" s="224"/>
      <c r="H34" s="228"/>
      <c r="I34" s="49"/>
      <c r="J34" s="49"/>
      <c r="K34" s="192"/>
      <c r="L34" s="192"/>
      <c r="M34" s="192"/>
      <c r="N34" s="192"/>
      <c r="O34" s="192"/>
      <c r="P34" s="192"/>
      <c r="Q34" s="192"/>
      <c r="R34" s="192"/>
      <c r="S34" s="192"/>
      <c r="T34" s="192"/>
      <c r="U34" s="192"/>
      <c r="V34" s="240"/>
      <c r="W34" s="240"/>
      <c r="X34" s="241"/>
      <c r="Y34" s="222"/>
      <c r="Z34" s="230"/>
      <c r="AA34" s="224"/>
      <c r="AB34" s="224"/>
      <c r="AC34" s="224"/>
      <c r="AD34" s="236"/>
      <c r="AE34" s="236"/>
      <c r="AF34" s="224"/>
      <c r="AG34" s="224"/>
      <c r="AH34" s="224"/>
      <c r="AI34" s="40"/>
    </row>
    <row r="35" spans="3:35" ht="15.6">
      <c r="C35" s="40"/>
      <c r="D35" s="224"/>
      <c r="E35" s="224"/>
      <c r="F35" s="224"/>
      <c r="G35" s="224"/>
      <c r="H35" s="228"/>
      <c r="I35" s="49"/>
      <c r="J35" s="49"/>
      <c r="K35" s="142" t="s">
        <v>263</v>
      </c>
      <c r="L35" s="142"/>
      <c r="M35" s="142"/>
      <c r="N35" s="142"/>
      <c r="O35" s="142"/>
      <c r="P35" s="142"/>
      <c r="Q35" s="142"/>
      <c r="R35" s="142"/>
      <c r="S35" s="49"/>
      <c r="T35" s="49"/>
      <c r="U35" s="49"/>
      <c r="V35" s="343">
        <f>V33*V28</f>
        <v>0</v>
      </c>
      <c r="W35" s="240"/>
      <c r="X35" s="241" t="s">
        <v>264</v>
      </c>
      <c r="Y35" s="222"/>
      <c r="Z35" s="230"/>
      <c r="AA35" s="224"/>
      <c r="AB35" s="224"/>
      <c r="AC35" s="224"/>
      <c r="AD35" s="236"/>
      <c r="AE35" s="236"/>
      <c r="AF35" s="224"/>
      <c r="AG35" s="224"/>
      <c r="AH35" s="224"/>
      <c r="AI35" s="40"/>
    </row>
    <row r="36" spans="3:35" ht="16.2" customHeight="1">
      <c r="C36" s="40"/>
      <c r="D36" s="224"/>
      <c r="E36" s="224"/>
      <c r="F36" s="224"/>
      <c r="G36" s="224"/>
      <c r="H36" s="228"/>
      <c r="I36" s="232"/>
      <c r="J36" s="232"/>
      <c r="K36" s="232"/>
      <c r="L36" s="232"/>
      <c r="M36" s="232"/>
      <c r="N36" s="232"/>
      <c r="O36" s="232"/>
      <c r="P36" s="232"/>
      <c r="Q36" s="232"/>
      <c r="R36" s="232"/>
      <c r="S36" s="232"/>
      <c r="T36" s="232"/>
      <c r="U36" s="232"/>
      <c r="V36" s="232"/>
      <c r="W36" s="232"/>
      <c r="X36" s="232"/>
      <c r="Y36" s="231"/>
      <c r="Z36" s="230"/>
      <c r="AA36" s="224"/>
      <c r="AB36" s="224"/>
      <c r="AC36" s="224"/>
      <c r="AD36" s="236"/>
      <c r="AE36" s="236"/>
      <c r="AF36" s="224"/>
      <c r="AG36" s="224"/>
      <c r="AH36" s="224"/>
      <c r="AI36" s="40"/>
    </row>
    <row r="37" spans="3:35" ht="11.1" customHeight="1" thickBot="1">
      <c r="C37" s="185"/>
      <c r="D37" s="246"/>
      <c r="E37" s="246"/>
      <c r="F37" s="246"/>
      <c r="G37" s="247"/>
      <c r="H37" s="228"/>
      <c r="I37" s="49"/>
      <c r="J37" s="49"/>
      <c r="K37" s="49"/>
      <c r="L37" s="49"/>
      <c r="M37" s="248"/>
      <c r="N37" s="248"/>
      <c r="O37" s="248"/>
      <c r="P37" s="248"/>
      <c r="Q37" s="248"/>
      <c r="R37" s="248"/>
      <c r="S37" s="248"/>
      <c r="T37" s="248"/>
      <c r="U37" s="248"/>
      <c r="V37" s="248"/>
      <c r="W37" s="248"/>
      <c r="X37" s="248"/>
      <c r="Y37" s="249"/>
      <c r="Z37" s="230"/>
      <c r="AA37" s="246"/>
      <c r="AB37" s="246"/>
      <c r="AC37" s="246"/>
      <c r="AD37" s="250"/>
      <c r="AE37" s="250"/>
      <c r="AF37" s="246"/>
      <c r="AG37" s="246"/>
      <c r="AH37" s="246"/>
      <c r="AI37" s="40"/>
    </row>
    <row r="38" spans="3:36" ht="53.7" customHeight="1">
      <c r="C38" s="43"/>
      <c r="D38" s="49"/>
      <c r="E38" s="49"/>
      <c r="F38" s="49"/>
      <c r="G38" s="49"/>
      <c r="H38" s="49"/>
      <c r="I38" s="139" t="s">
        <v>265</v>
      </c>
      <c r="J38" s="139"/>
      <c r="K38" s="139"/>
      <c r="L38" s="139"/>
      <c r="M38" s="139"/>
      <c r="N38" s="139"/>
      <c r="O38" s="139"/>
      <c r="P38" s="139"/>
      <c r="Q38" s="139"/>
      <c r="R38" s="139"/>
      <c r="S38" s="139"/>
      <c r="T38" s="139"/>
      <c r="U38" s="139"/>
      <c r="V38" s="139"/>
      <c r="W38" s="139"/>
      <c r="X38" s="139"/>
      <c r="Y38" s="248"/>
      <c r="Z38" s="49"/>
      <c r="AA38" s="49"/>
      <c r="AB38" s="49"/>
      <c r="AC38" s="49"/>
      <c r="AD38" s="140"/>
      <c r="AE38" s="140"/>
      <c r="AF38" s="49"/>
      <c r="AG38" s="49"/>
      <c r="AH38" s="49"/>
      <c r="AI38" s="45"/>
      <c r="AJ38" s="34"/>
    </row>
    <row r="39" spans="2:36" ht="11.1" customHeight="1">
      <c r="B39" s="17"/>
      <c r="C39" s="42"/>
      <c r="D39" s="49"/>
      <c r="E39" s="49"/>
      <c r="F39" s="49"/>
      <c r="G39" s="49"/>
      <c r="H39" s="49"/>
      <c r="I39" s="49"/>
      <c r="J39" s="49"/>
      <c r="K39" s="49"/>
      <c r="L39" s="49"/>
      <c r="M39" s="248"/>
      <c r="N39" s="248"/>
      <c r="O39" s="248"/>
      <c r="P39" s="248"/>
      <c r="Q39" s="248"/>
      <c r="R39" s="248"/>
      <c r="S39" s="248"/>
      <c r="T39" s="248"/>
      <c r="U39" s="248"/>
      <c r="V39" s="248"/>
      <c r="W39" s="248"/>
      <c r="X39" s="248"/>
      <c r="Y39" s="248"/>
      <c r="Z39" s="49"/>
      <c r="AA39" s="49"/>
      <c r="AB39" s="49"/>
      <c r="AC39" s="49"/>
      <c r="AD39" s="140"/>
      <c r="AE39" s="140"/>
      <c r="AF39" s="49"/>
      <c r="AG39" s="49"/>
      <c r="AH39" s="49"/>
      <c r="AI39" s="47"/>
      <c r="AJ39" s="34"/>
    </row>
    <row r="40" spans="2:35" ht="15" customHeight="1">
      <c r="B40" s="17"/>
      <c r="C40" s="42"/>
      <c r="D40" s="49"/>
      <c r="E40" s="138" t="s">
        <v>266</v>
      </c>
      <c r="F40" s="138"/>
      <c r="G40" s="138"/>
      <c r="H40" s="138"/>
      <c r="I40" s="138"/>
      <c r="J40" s="138"/>
      <c r="K40" s="138"/>
      <c r="L40" s="138"/>
      <c r="M40" s="248"/>
      <c r="N40" s="251" t="s">
        <v>269</v>
      </c>
      <c r="O40" s="248"/>
      <c r="P40" s="248"/>
      <c r="Q40" s="248"/>
      <c r="R40" s="248"/>
      <c r="S40" s="248"/>
      <c r="T40" s="248"/>
      <c r="U40" s="248"/>
      <c r="V40" s="368" t="s">
        <v>268</v>
      </c>
      <c r="W40" s="368"/>
      <c r="X40" s="368"/>
      <c r="Y40" s="368"/>
      <c r="Z40" s="368"/>
      <c r="AA40" s="368"/>
      <c r="AB40" s="368"/>
      <c r="AC40" s="368"/>
      <c r="AD40" s="233" t="s">
        <v>269</v>
      </c>
      <c r="AE40" s="234"/>
      <c r="AF40" s="49"/>
      <c r="AG40" s="49"/>
      <c r="AH40" s="49"/>
      <c r="AI40" s="47"/>
    </row>
    <row r="41" spans="2:35" ht="11.1" customHeight="1">
      <c r="B41" s="17"/>
      <c r="C41" s="42"/>
      <c r="D41" s="49"/>
      <c r="E41" s="138"/>
      <c r="F41" s="138"/>
      <c r="G41" s="138"/>
      <c r="H41" s="138"/>
      <c r="I41" s="138"/>
      <c r="J41" s="138"/>
      <c r="K41" s="138"/>
      <c r="L41" s="138"/>
      <c r="M41" s="248"/>
      <c r="N41" s="248"/>
      <c r="O41" s="248"/>
      <c r="P41" s="248"/>
      <c r="Q41" s="248"/>
      <c r="R41" s="248"/>
      <c r="S41" s="248"/>
      <c r="T41" s="248"/>
      <c r="U41" s="248"/>
      <c r="V41" s="248"/>
      <c r="W41" s="248"/>
      <c r="X41" s="248"/>
      <c r="Y41" s="248"/>
      <c r="Z41" s="49"/>
      <c r="AA41" s="49"/>
      <c r="AB41" s="49"/>
      <c r="AC41" s="49"/>
      <c r="AD41" s="140"/>
      <c r="AE41" s="140"/>
      <c r="AF41" s="49"/>
      <c r="AG41" s="49"/>
      <c r="AH41" s="49"/>
      <c r="AI41" s="47"/>
    </row>
    <row r="42" spans="3:35" ht="27.6" customHeight="1">
      <c r="C42" s="46"/>
      <c r="D42" s="138" t="s">
        <v>270</v>
      </c>
      <c r="E42" s="141" t="s">
        <v>271</v>
      </c>
      <c r="F42" s="141"/>
      <c r="G42" s="141"/>
      <c r="H42" s="141"/>
      <c r="I42" s="141"/>
      <c r="J42" s="141"/>
      <c r="K42" s="141"/>
      <c r="L42" s="141"/>
      <c r="M42" s="141"/>
      <c r="N42" s="141"/>
      <c r="O42" s="141"/>
      <c r="P42" s="141"/>
      <c r="Q42" s="141"/>
      <c r="R42" s="252"/>
      <c r="S42" s="49"/>
      <c r="T42" s="138" t="s">
        <v>272</v>
      </c>
      <c r="U42" s="140" t="s">
        <v>273</v>
      </c>
      <c r="V42" s="140"/>
      <c r="W42" s="140"/>
      <c r="X42" s="140"/>
      <c r="Y42" s="140"/>
      <c r="Z42" s="140"/>
      <c r="AA42" s="140"/>
      <c r="AB42" s="140"/>
      <c r="AC42" s="140"/>
      <c r="AD42" s="140"/>
      <c r="AE42" s="140"/>
      <c r="AF42" s="140"/>
      <c r="AG42" s="140"/>
      <c r="AH42" s="140"/>
      <c r="AI42" s="47"/>
    </row>
    <row r="43" spans="3:35" ht="14.7" customHeight="1">
      <c r="C43" s="46"/>
      <c r="D43" s="232" t="s">
        <v>274</v>
      </c>
      <c r="E43" s="232"/>
      <c r="F43" s="232"/>
      <c r="G43" s="232"/>
      <c r="H43" s="232"/>
      <c r="I43" s="232"/>
      <c r="J43" s="232"/>
      <c r="K43" s="232"/>
      <c r="L43" s="232"/>
      <c r="M43" s="232"/>
      <c r="N43" s="232"/>
      <c r="O43" s="232"/>
      <c r="P43" s="232"/>
      <c r="Q43" s="232"/>
      <c r="R43" s="252"/>
      <c r="S43" s="49"/>
      <c r="T43" s="232" t="s">
        <v>275</v>
      </c>
      <c r="U43" s="232"/>
      <c r="V43" s="232"/>
      <c r="W43" s="232"/>
      <c r="X43" s="232"/>
      <c r="Y43" s="232"/>
      <c r="Z43" s="232"/>
      <c r="AA43" s="232"/>
      <c r="AB43" s="232"/>
      <c r="AC43" s="232"/>
      <c r="AD43" s="232"/>
      <c r="AE43" s="232"/>
      <c r="AF43" s="232"/>
      <c r="AG43" s="232"/>
      <c r="AH43" s="232"/>
      <c r="AI43" s="47"/>
    </row>
    <row r="44" spans="3:35" ht="23.1" customHeight="1">
      <c r="C44" s="46"/>
      <c r="D44" s="232"/>
      <c r="E44" s="232"/>
      <c r="F44" s="232"/>
      <c r="G44" s="232"/>
      <c r="H44" s="232"/>
      <c r="I44" s="232"/>
      <c r="J44" s="232"/>
      <c r="K44" s="232"/>
      <c r="L44" s="232"/>
      <c r="M44" s="232"/>
      <c r="N44" s="232"/>
      <c r="O44" s="232"/>
      <c r="P44" s="232"/>
      <c r="Q44" s="232"/>
      <c r="R44" s="252"/>
      <c r="S44" s="49"/>
      <c r="T44" s="232"/>
      <c r="U44" s="232"/>
      <c r="V44" s="232"/>
      <c r="W44" s="232"/>
      <c r="X44" s="232"/>
      <c r="Y44" s="232"/>
      <c r="Z44" s="232"/>
      <c r="AA44" s="232"/>
      <c r="AB44" s="232"/>
      <c r="AC44" s="232"/>
      <c r="AD44" s="232"/>
      <c r="AE44" s="232"/>
      <c r="AF44" s="232"/>
      <c r="AG44" s="232"/>
      <c r="AH44" s="232"/>
      <c r="AI44" s="47"/>
    </row>
    <row r="45" spans="3:35" ht="79.2" customHeight="1">
      <c r="C45" s="46"/>
      <c r="D45" s="232"/>
      <c r="E45" s="232"/>
      <c r="F45" s="232"/>
      <c r="G45" s="232"/>
      <c r="H45" s="232"/>
      <c r="I45" s="232"/>
      <c r="J45" s="232"/>
      <c r="K45" s="232"/>
      <c r="L45" s="232"/>
      <c r="M45" s="232"/>
      <c r="N45" s="232"/>
      <c r="O45" s="232"/>
      <c r="P45" s="232"/>
      <c r="Q45" s="232"/>
      <c r="R45" s="252"/>
      <c r="S45" s="49"/>
      <c r="T45" s="232"/>
      <c r="U45" s="232"/>
      <c r="V45" s="232"/>
      <c r="W45" s="232"/>
      <c r="X45" s="232"/>
      <c r="Y45" s="232"/>
      <c r="Z45" s="232"/>
      <c r="AA45" s="232"/>
      <c r="AB45" s="232"/>
      <c r="AC45" s="232"/>
      <c r="AD45" s="232"/>
      <c r="AE45" s="232"/>
      <c r="AF45" s="232"/>
      <c r="AG45" s="232"/>
      <c r="AH45" s="232"/>
      <c r="AI45" s="47"/>
    </row>
    <row r="46" spans="3:35" ht="2.7" customHeight="1">
      <c r="C46" s="46"/>
      <c r="D46" s="242"/>
      <c r="E46" s="242"/>
      <c r="F46" s="242"/>
      <c r="G46" s="242"/>
      <c r="H46" s="242"/>
      <c r="I46" s="242"/>
      <c r="J46" s="242"/>
      <c r="K46" s="242"/>
      <c r="L46" s="242"/>
      <c r="M46" s="242"/>
      <c r="N46" s="242"/>
      <c r="O46" s="242"/>
      <c r="P46" s="242"/>
      <c r="Q46" s="242"/>
      <c r="R46" s="252"/>
      <c r="S46" s="49"/>
      <c r="T46" s="242"/>
      <c r="U46" s="242"/>
      <c r="V46" s="242"/>
      <c r="W46" s="242"/>
      <c r="X46" s="242"/>
      <c r="Y46" s="242"/>
      <c r="Z46" s="242"/>
      <c r="AA46" s="242"/>
      <c r="AB46" s="242"/>
      <c r="AC46" s="242"/>
      <c r="AD46" s="242"/>
      <c r="AE46" s="242"/>
      <c r="AF46" s="242"/>
      <c r="AG46" s="242"/>
      <c r="AH46" s="242"/>
      <c r="AI46" s="47"/>
    </row>
    <row r="47" spans="3:35" ht="12.6" customHeight="1">
      <c r="C47" s="46"/>
      <c r="D47" s="253"/>
      <c r="E47" s="253"/>
      <c r="F47" s="253"/>
      <c r="G47" s="253"/>
      <c r="H47" s="253"/>
      <c r="I47" s="253"/>
      <c r="J47" s="253"/>
      <c r="K47" s="253"/>
      <c r="L47" s="49"/>
      <c r="M47" s="49"/>
      <c r="N47" s="49"/>
      <c r="O47" s="49"/>
      <c r="P47" s="49"/>
      <c r="Q47" s="49"/>
      <c r="R47" s="252"/>
      <c r="S47" s="49"/>
      <c r="T47" s="66"/>
      <c r="U47" s="49"/>
      <c r="V47" s="49"/>
      <c r="W47" s="49"/>
      <c r="X47" s="49"/>
      <c r="Y47" s="49"/>
      <c r="Z47" s="49"/>
      <c r="AA47" s="49"/>
      <c r="AB47" s="49"/>
      <c r="AC47" s="49"/>
      <c r="AD47" s="49"/>
      <c r="AE47" s="49"/>
      <c r="AF47" s="49"/>
      <c r="AG47" s="49"/>
      <c r="AH47" s="49"/>
      <c r="AI47" s="47"/>
    </row>
    <row r="48" spans="3:47" ht="17.1" customHeight="1">
      <c r="C48" s="46"/>
      <c r="D48" s="138" t="s">
        <v>276</v>
      </c>
      <c r="E48" s="138"/>
      <c r="F48" s="138"/>
      <c r="G48" s="138"/>
      <c r="H48" s="138"/>
      <c r="I48" s="138"/>
      <c r="J48" s="138"/>
      <c r="K48" s="140" t="s">
        <v>240</v>
      </c>
      <c r="L48" s="140"/>
      <c r="M48" s="49"/>
      <c r="N48" s="140" t="s">
        <v>241</v>
      </c>
      <c r="O48" s="49"/>
      <c r="P48" s="49"/>
      <c r="Q48" s="49"/>
      <c r="R48" s="252"/>
      <c r="S48" s="49"/>
      <c r="T48" s="138" t="s">
        <v>277</v>
      </c>
      <c r="U48" s="138"/>
      <c r="V48" s="138"/>
      <c r="W48" s="138"/>
      <c r="X48" s="138"/>
      <c r="Y48" s="138"/>
      <c r="Z48" s="138"/>
      <c r="AA48" s="138"/>
      <c r="AB48" s="138"/>
      <c r="AC48" s="138"/>
      <c r="AD48" s="140" t="s">
        <v>240</v>
      </c>
      <c r="AE48" s="49"/>
      <c r="AF48" s="49"/>
      <c r="AG48" s="49" t="s">
        <v>241</v>
      </c>
      <c r="AH48" s="49"/>
      <c r="AI48" s="47"/>
      <c r="AL48" s="20"/>
      <c r="AS48" s="21"/>
      <c r="AU48" s="21"/>
    </row>
    <row r="49" spans="3:47" ht="15.6">
      <c r="C49" s="46"/>
      <c r="D49" s="49"/>
      <c r="E49" s="49"/>
      <c r="F49" s="49"/>
      <c r="G49" s="49"/>
      <c r="H49" s="49"/>
      <c r="I49" s="49"/>
      <c r="J49" s="49"/>
      <c r="K49" s="140"/>
      <c r="L49" s="140"/>
      <c r="M49" s="49"/>
      <c r="N49" s="140"/>
      <c r="O49" s="49"/>
      <c r="P49" s="49"/>
      <c r="Q49" s="49"/>
      <c r="R49" s="252"/>
      <c r="S49" s="49"/>
      <c r="T49" s="66"/>
      <c r="U49" s="49"/>
      <c r="V49" s="49"/>
      <c r="W49" s="49"/>
      <c r="X49" s="49"/>
      <c r="Y49" s="49"/>
      <c r="Z49" s="49"/>
      <c r="AA49" s="49"/>
      <c r="AB49" s="49"/>
      <c r="AC49" s="49"/>
      <c r="AD49" s="49"/>
      <c r="AE49" s="49"/>
      <c r="AF49" s="49"/>
      <c r="AG49" s="49"/>
      <c r="AH49" s="49"/>
      <c r="AI49" s="47"/>
      <c r="AL49" s="20"/>
      <c r="AS49" s="21"/>
      <c r="AU49" s="21"/>
    </row>
    <row r="50" spans="3:46" ht="16.5" customHeight="1">
      <c r="C50" s="46"/>
      <c r="D50" s="138" t="s">
        <v>278</v>
      </c>
      <c r="E50" s="138"/>
      <c r="F50" s="138"/>
      <c r="G50" s="138"/>
      <c r="H50" s="138"/>
      <c r="I50" s="138"/>
      <c r="J50" s="138"/>
      <c r="K50" s="254" t="s">
        <v>93</v>
      </c>
      <c r="L50" s="255"/>
      <c r="M50" s="49"/>
      <c r="N50" s="239"/>
      <c r="O50" s="49"/>
      <c r="P50" s="49"/>
      <c r="Q50" s="49"/>
      <c r="R50" s="252"/>
      <c r="S50" s="49"/>
      <c r="T50" s="138" t="s">
        <v>279</v>
      </c>
      <c r="U50" s="138"/>
      <c r="V50" s="138"/>
      <c r="W50" s="138"/>
      <c r="X50" s="138"/>
      <c r="Y50" s="138"/>
      <c r="Z50" s="138"/>
      <c r="AA50" s="138"/>
      <c r="AB50" s="138"/>
      <c r="AC50" s="49"/>
      <c r="AD50" s="256" t="s">
        <v>280</v>
      </c>
      <c r="AE50" s="257"/>
      <c r="AF50" s="49"/>
      <c r="AG50" s="235"/>
      <c r="AH50" s="49"/>
      <c r="AI50" s="47"/>
      <c r="AL50" s="23"/>
      <c r="AT50" s="25"/>
    </row>
    <row r="51" spans="3:47" ht="17.7" customHeight="1">
      <c r="C51" s="46"/>
      <c r="D51" s="49"/>
      <c r="E51" s="49"/>
      <c r="F51" s="49"/>
      <c r="G51" s="49"/>
      <c r="H51" s="49"/>
      <c r="I51" s="49"/>
      <c r="J51" s="49"/>
      <c r="K51" s="49" t="s">
        <v>281</v>
      </c>
      <c r="L51" s="66" t="str">
        <f>IF(ISNUMBER(L52),"Post 2026 discharge","")</f>
        <v/>
      </c>
      <c r="M51" s="49" t="s">
        <v>282</v>
      </c>
      <c r="N51" s="235"/>
      <c r="O51" s="49"/>
      <c r="P51" s="49"/>
      <c r="Q51" s="49"/>
      <c r="R51" s="252"/>
      <c r="S51" s="49"/>
      <c r="T51" s="138" t="s">
        <v>232</v>
      </c>
      <c r="U51" s="138"/>
      <c r="V51" s="138"/>
      <c r="W51" s="138"/>
      <c r="X51" s="138"/>
      <c r="Y51" s="138"/>
      <c r="Z51" s="138"/>
      <c r="AA51" s="138"/>
      <c r="AB51" s="49"/>
      <c r="AC51" s="49"/>
      <c r="AD51" s="258"/>
      <c r="AE51" s="258"/>
      <c r="AF51" s="259"/>
      <c r="AG51" s="235"/>
      <c r="AH51" s="49"/>
      <c r="AI51" s="47"/>
      <c r="AU51" s="26"/>
    </row>
    <row r="52" spans="3:49" ht="27" customHeight="1">
      <c r="C52" s="46"/>
      <c r="D52" s="138" t="s">
        <v>283</v>
      </c>
      <c r="E52" s="138"/>
      <c r="F52" s="138"/>
      <c r="G52" s="49"/>
      <c r="H52" s="49"/>
      <c r="I52" s="49"/>
      <c r="J52" s="49"/>
      <c r="K52" s="260">
        <f>INDEX(permits,MATCH('Stage 1'!K50,Wastewater,0),3)</f>
        <v>1.57</v>
      </c>
      <c r="L52" s="258" t="str">
        <f>IF(INDEX(permits,MATCH('Stage 1'!K50,Wastewater,0),6)=K52,"",INDEX(permits,MATCH('Stage 1'!K50,Wastewater,0),6))</f>
        <v/>
      </c>
      <c r="M52" s="347">
        <f>INDEX(permits_2030,MATCH('Stage 1'!K50,Wastewater,0),9)</f>
        <v>0.225</v>
      </c>
      <c r="N52" s="235" t="s">
        <v>284</v>
      </c>
      <c r="O52" s="49"/>
      <c r="P52" s="232"/>
      <c r="Q52" s="49"/>
      <c r="R52" s="252"/>
      <c r="S52" s="49"/>
      <c r="T52" s="138" t="s">
        <v>285</v>
      </c>
      <c r="U52" s="138"/>
      <c r="V52" s="138"/>
      <c r="W52" s="138"/>
      <c r="X52" s="138"/>
      <c r="Y52" s="49"/>
      <c r="Z52" s="49"/>
      <c r="AA52" s="49"/>
      <c r="AB52" s="49"/>
      <c r="AC52" s="49"/>
      <c r="AD52" s="261" t="str">
        <f>INDEX(Table3[],MATCH('Stage 1'!AD50,OsTWs,0),2)</f>
        <v>Please enter effluent concentration in cell to right:</v>
      </c>
      <c r="AE52" s="270"/>
      <c r="AF52" s="259"/>
      <c r="AG52" s="235" t="s">
        <v>284</v>
      </c>
      <c r="AH52" s="49"/>
      <c r="AI52" s="47"/>
      <c r="AL52" s="24"/>
      <c r="AS52" s="19"/>
      <c r="AU52" s="27"/>
      <c r="AW52" s="28"/>
    </row>
    <row r="53" spans="3:49" ht="28.5" customHeight="1">
      <c r="C53" s="46"/>
      <c r="D53" s="138" t="s">
        <v>286</v>
      </c>
      <c r="E53" s="138"/>
      <c r="F53" s="138"/>
      <c r="G53" s="49"/>
      <c r="H53" s="49"/>
      <c r="I53" s="49"/>
      <c r="J53" s="49"/>
      <c r="K53" s="262">
        <f>INDEX(permits,MATCH('Stage 1'!K50,Wastewater,0),4)</f>
        <v>25</v>
      </c>
      <c r="L53" s="258" t="str">
        <f>IF(INDEX(permits,MATCH('Stage 1'!K50,Wastewater,0),7)=K53,"",INDEX(permits,MATCH('Stage 1'!K50,Wastewater,0),7))</f>
        <v/>
      </c>
      <c r="M53" s="347">
        <f>INDEX(permits_2030,MATCH('Stage 1'!K50,Wastewater,0),10)</f>
        <v>25</v>
      </c>
      <c r="N53" s="235" t="s">
        <v>284</v>
      </c>
      <c r="O53" s="49"/>
      <c r="P53" s="232"/>
      <c r="Q53" s="49"/>
      <c r="R53" s="252"/>
      <c r="S53" s="49"/>
      <c r="T53" s="138" t="s">
        <v>287</v>
      </c>
      <c r="U53" s="138"/>
      <c r="V53" s="138"/>
      <c r="W53" s="138"/>
      <c r="X53" s="138"/>
      <c r="Y53" s="49"/>
      <c r="Z53" s="49"/>
      <c r="AA53" s="49"/>
      <c r="AB53" s="49"/>
      <c r="AC53" s="49"/>
      <c r="AD53" s="261" t="str">
        <f>INDEX(Table3[],MATCH('Stage 1'!AD50,OsTWs,0),3)</f>
        <v>Please enter effluent concentration in cell to right:</v>
      </c>
      <c r="AE53" s="271"/>
      <c r="AF53" s="259"/>
      <c r="AG53" s="235" t="s">
        <v>284</v>
      </c>
      <c r="AH53" s="49"/>
      <c r="AI53" s="47"/>
      <c r="AL53" s="24"/>
      <c r="AS53" s="19"/>
      <c r="AU53" s="27"/>
      <c r="AW53" s="28"/>
    </row>
    <row r="54" spans="3:49" ht="15" customHeight="1">
      <c r="C54" s="46"/>
      <c r="D54" s="142"/>
      <c r="E54" s="142"/>
      <c r="F54" s="142"/>
      <c r="G54" s="49"/>
      <c r="H54" s="49"/>
      <c r="I54" s="49"/>
      <c r="J54" s="49"/>
      <c r="K54" s="263"/>
      <c r="L54" s="263"/>
      <c r="M54" s="49"/>
      <c r="N54" s="241"/>
      <c r="O54" s="49"/>
      <c r="P54" s="232"/>
      <c r="Q54" s="49"/>
      <c r="R54" s="252"/>
      <c r="S54" s="49"/>
      <c r="T54" s="49"/>
      <c r="U54" s="49"/>
      <c r="V54" s="49"/>
      <c r="W54" s="49"/>
      <c r="X54" s="49"/>
      <c r="Y54" s="49"/>
      <c r="Z54" s="49"/>
      <c r="AA54" s="49"/>
      <c r="AB54" s="49"/>
      <c r="AC54" s="49"/>
      <c r="AD54" s="258"/>
      <c r="AE54" s="258"/>
      <c r="AF54" s="259"/>
      <c r="AG54" s="235"/>
      <c r="AH54" s="66"/>
      <c r="AI54" s="47"/>
      <c r="AL54" s="24"/>
      <c r="AS54" s="19"/>
      <c r="AU54" s="27"/>
      <c r="AW54" s="28"/>
    </row>
    <row r="55" spans="3:50" ht="78" customHeight="1">
      <c r="C55" s="46"/>
      <c r="D55" s="232" t="s">
        <v>288</v>
      </c>
      <c r="E55" s="232"/>
      <c r="F55" s="232"/>
      <c r="G55" s="232"/>
      <c r="H55" s="232"/>
      <c r="I55" s="232"/>
      <c r="J55" s="232"/>
      <c r="K55" s="232"/>
      <c r="L55" s="232"/>
      <c r="M55" s="232"/>
      <c r="N55" s="232"/>
      <c r="O55" s="232"/>
      <c r="P55" s="232"/>
      <c r="Q55" s="232"/>
      <c r="R55" s="252"/>
      <c r="S55" s="49"/>
      <c r="T55" s="232" t="s">
        <v>289</v>
      </c>
      <c r="U55" s="232"/>
      <c r="V55" s="232"/>
      <c r="W55" s="232"/>
      <c r="X55" s="232"/>
      <c r="Y55" s="232"/>
      <c r="Z55" s="232"/>
      <c r="AA55" s="232"/>
      <c r="AB55" s="232"/>
      <c r="AC55" s="232"/>
      <c r="AD55" s="232"/>
      <c r="AE55" s="232"/>
      <c r="AF55" s="232"/>
      <c r="AG55" s="232"/>
      <c r="AH55" s="232"/>
      <c r="AI55" s="47"/>
      <c r="AL55" s="31"/>
      <c r="AM55" s="31"/>
      <c r="AN55" s="31"/>
      <c r="AO55" s="31"/>
      <c r="AP55" s="31"/>
      <c r="AQ55" s="31"/>
      <c r="AR55" s="31"/>
      <c r="AS55" s="31"/>
      <c r="AT55" s="31"/>
      <c r="AU55" s="31"/>
      <c r="AV55" s="31"/>
      <c r="AW55" s="31"/>
      <c r="AX55" s="31"/>
    </row>
    <row r="56" spans="3:50" ht="15.6">
      <c r="C56" s="46"/>
      <c r="D56" s="264"/>
      <c r="E56" s="264"/>
      <c r="F56" s="264"/>
      <c r="G56" s="264"/>
      <c r="H56" s="264"/>
      <c r="I56" s="264"/>
      <c r="J56" s="264"/>
      <c r="K56" s="242"/>
      <c r="L56" s="242"/>
      <c r="M56" s="264"/>
      <c r="N56" s="264"/>
      <c r="O56" s="264"/>
      <c r="P56" s="264"/>
      <c r="Q56" s="264"/>
      <c r="R56" s="252"/>
      <c r="S56" s="49"/>
      <c r="T56" s="242"/>
      <c r="U56" s="242"/>
      <c r="V56" s="242"/>
      <c r="W56" s="242"/>
      <c r="X56" s="242"/>
      <c r="Y56" s="242"/>
      <c r="Z56" s="242"/>
      <c r="AA56" s="242"/>
      <c r="AB56" s="242"/>
      <c r="AC56" s="242"/>
      <c r="AD56" s="242"/>
      <c r="AE56" s="242"/>
      <c r="AF56" s="242"/>
      <c r="AG56" s="242"/>
      <c r="AH56" s="242"/>
      <c r="AI56" s="47"/>
      <c r="AL56" s="31"/>
      <c r="AM56" s="31"/>
      <c r="AN56" s="31"/>
      <c r="AO56" s="31"/>
      <c r="AP56" s="31"/>
      <c r="AQ56" s="31"/>
      <c r="AR56" s="31"/>
      <c r="AS56" s="31"/>
      <c r="AT56" s="31"/>
      <c r="AU56" s="31"/>
      <c r="AV56" s="31"/>
      <c r="AW56" s="31"/>
      <c r="AX56" s="31"/>
    </row>
    <row r="57" spans="3:35" ht="15.6">
      <c r="C57" s="46"/>
      <c r="D57" s="49"/>
      <c r="E57" s="49"/>
      <c r="F57" s="49"/>
      <c r="G57" s="49"/>
      <c r="H57" s="49"/>
      <c r="I57" s="49"/>
      <c r="J57" s="49"/>
      <c r="K57" s="49"/>
      <c r="L57" s="49"/>
      <c r="M57" s="49"/>
      <c r="N57" s="49"/>
      <c r="O57" s="49"/>
      <c r="P57" s="49"/>
      <c r="Q57" s="49"/>
      <c r="R57" s="252"/>
      <c r="S57" s="49"/>
      <c r="T57" s="49"/>
      <c r="U57" s="49"/>
      <c r="V57" s="49"/>
      <c r="W57" s="49"/>
      <c r="X57" s="49"/>
      <c r="Y57" s="49"/>
      <c r="Z57" s="49"/>
      <c r="AA57" s="49"/>
      <c r="AB57" s="49"/>
      <c r="AC57" s="49"/>
      <c r="AD57" s="49"/>
      <c r="AE57" s="49"/>
      <c r="AF57" s="49"/>
      <c r="AG57" s="49"/>
      <c r="AH57" s="49"/>
      <c r="AI57" s="47"/>
    </row>
    <row r="58" spans="3:47" ht="15.6">
      <c r="C58" s="46"/>
      <c r="D58" s="138" t="s">
        <v>290</v>
      </c>
      <c r="E58" s="138"/>
      <c r="F58" s="138"/>
      <c r="G58" s="138"/>
      <c r="H58" s="138"/>
      <c r="I58" s="138"/>
      <c r="J58" s="138"/>
      <c r="K58" s="140" t="s">
        <v>240</v>
      </c>
      <c r="L58" s="140"/>
      <c r="M58" s="66"/>
      <c r="N58" s="140" t="s">
        <v>241</v>
      </c>
      <c r="O58" s="49"/>
      <c r="P58" s="49"/>
      <c r="Q58" s="49"/>
      <c r="R58" s="252"/>
      <c r="S58" s="49"/>
      <c r="T58" s="138" t="s">
        <v>291</v>
      </c>
      <c r="U58" s="138"/>
      <c r="V58" s="138"/>
      <c r="W58" s="138"/>
      <c r="X58" s="138"/>
      <c r="Y58" s="138"/>
      <c r="Z58" s="138"/>
      <c r="AA58" s="138"/>
      <c r="AB58" s="138"/>
      <c r="AC58" s="138"/>
      <c r="AD58" s="140" t="s">
        <v>240</v>
      </c>
      <c r="AE58" s="49"/>
      <c r="AF58" s="49"/>
      <c r="AG58" s="49" t="s">
        <v>241</v>
      </c>
      <c r="AH58" s="49"/>
      <c r="AI58" s="47"/>
      <c r="AL58" s="20"/>
      <c r="AS58" s="21"/>
      <c r="AU58" s="21"/>
    </row>
    <row r="59" spans="3:47" ht="15.6">
      <c r="C59" s="46"/>
      <c r="D59" s="49"/>
      <c r="E59" s="49"/>
      <c r="F59" s="49"/>
      <c r="G59" s="49"/>
      <c r="H59" s="49"/>
      <c r="I59" s="49"/>
      <c r="J59" s="49"/>
      <c r="K59" s="49" t="s">
        <v>281</v>
      </c>
      <c r="L59" s="49" t="str">
        <f>IF(ISNUMBER(L60),"Post 2025 discharge","")</f>
        <v/>
      </c>
      <c r="M59" s="49" t="s">
        <v>282</v>
      </c>
      <c r="N59" s="140"/>
      <c r="O59" s="49"/>
      <c r="P59" s="49"/>
      <c r="Q59" s="49"/>
      <c r="R59" s="252"/>
      <c r="S59" s="49"/>
      <c r="T59" s="49"/>
      <c r="U59" s="49"/>
      <c r="V59" s="49"/>
      <c r="W59" s="49"/>
      <c r="X59" s="49"/>
      <c r="Y59" s="49"/>
      <c r="Z59" s="49"/>
      <c r="AA59" s="49"/>
      <c r="AB59" s="49"/>
      <c r="AC59" s="49"/>
      <c r="AD59" s="49"/>
      <c r="AE59" s="49"/>
      <c r="AF59" s="49"/>
      <c r="AG59" s="49"/>
      <c r="AH59" s="49"/>
      <c r="AI59" s="47"/>
      <c r="AL59" s="32"/>
      <c r="AS59" s="21"/>
      <c r="AU59" s="21"/>
    </row>
    <row r="60" spans="2:47" ht="15.6">
      <c r="B60" s="17"/>
      <c r="C60" s="46"/>
      <c r="D60" s="138" t="s">
        <v>292</v>
      </c>
      <c r="E60" s="138"/>
      <c r="F60" s="138"/>
      <c r="G60" s="49"/>
      <c r="H60" s="49"/>
      <c r="I60" s="49"/>
      <c r="J60" s="49"/>
      <c r="K60" s="262">
        <f>IF(N40="Yes",((K52*V35)/1000000)*365.25,0)</f>
        <v>0</v>
      </c>
      <c r="L60" s="258" t="str">
        <f>IF(ISNUMBER(L52),IF(N40="Yes",((L52*V35)/1000000)*365.25,0),"")</f>
        <v/>
      </c>
      <c r="M60" s="347">
        <f>IF(N40="Yes",((M52*V35)/1000000)*365.25,0)</f>
        <v>0</v>
      </c>
      <c r="N60" s="239" t="s">
        <v>293</v>
      </c>
      <c r="O60" s="49"/>
      <c r="P60" s="49"/>
      <c r="Q60" s="49"/>
      <c r="R60" s="252"/>
      <c r="S60" s="49"/>
      <c r="T60" s="138" t="s">
        <v>294</v>
      </c>
      <c r="U60" s="138"/>
      <c r="V60" s="138"/>
      <c r="W60" s="138"/>
      <c r="X60" s="138"/>
      <c r="Y60" s="138"/>
      <c r="Z60" s="138"/>
      <c r="AA60" s="138"/>
      <c r="AB60" s="49"/>
      <c r="AC60" s="49"/>
      <c r="AD60" s="262">
        <f>IF(AD40="Yes",((IF(AE52&gt;0,AE52*V35,AD52*V35))/1000000)*365.25,0)</f>
        <v>0</v>
      </c>
      <c r="AE60" s="263"/>
      <c r="AF60" s="49"/>
      <c r="AG60" s="235" t="s">
        <v>293</v>
      </c>
      <c r="AH60" s="49"/>
      <c r="AI60" s="47"/>
      <c r="AL60" s="23"/>
      <c r="AS60" s="15"/>
      <c r="AU60" s="29"/>
    </row>
    <row r="61" spans="2:47" ht="14.1" customHeight="1">
      <c r="B61" s="17"/>
      <c r="C61" s="42"/>
      <c r="D61" s="138" t="s">
        <v>295</v>
      </c>
      <c r="E61" s="138"/>
      <c r="F61" s="138"/>
      <c r="G61" s="49"/>
      <c r="H61" s="49"/>
      <c r="I61" s="49"/>
      <c r="J61" s="49"/>
      <c r="K61" s="262">
        <f>IF(N40="Yes",((K53*V35)/1000000)*365.25,0)</f>
        <v>0</v>
      </c>
      <c r="L61" s="258"/>
      <c r="M61" s="347">
        <f>IF(N40="Yes",((M53*V35)/1000000)*365.25,0)</f>
        <v>0</v>
      </c>
      <c r="N61" s="239" t="s">
        <v>293</v>
      </c>
      <c r="O61" s="49"/>
      <c r="P61" s="49"/>
      <c r="Q61" s="49"/>
      <c r="R61" s="252"/>
      <c r="S61" s="49"/>
      <c r="T61" s="138" t="s">
        <v>296</v>
      </c>
      <c r="U61" s="138"/>
      <c r="V61" s="138"/>
      <c r="W61" s="138"/>
      <c r="X61" s="138"/>
      <c r="Y61" s="138"/>
      <c r="Z61" s="138"/>
      <c r="AA61" s="138"/>
      <c r="AB61" s="49"/>
      <c r="AC61" s="49"/>
      <c r="AD61" s="262">
        <f>IF(AD40="Yes",((IF(AE53&gt;0,AE53*V35,AD53*V35))/1000000)*365.25,0)</f>
        <v>0</v>
      </c>
      <c r="AE61" s="49"/>
      <c r="AF61" s="49"/>
      <c r="AG61" s="235" t="s">
        <v>293</v>
      </c>
      <c r="AH61" s="49"/>
      <c r="AI61" s="47"/>
      <c r="AL61" s="23"/>
      <c r="AS61" s="30"/>
      <c r="AU61" s="22"/>
    </row>
    <row r="62" spans="2:47" ht="17.1" customHeight="1">
      <c r="B62" s="17"/>
      <c r="C62" s="42"/>
      <c r="D62" s="49"/>
      <c r="E62" s="49"/>
      <c r="F62" s="49"/>
      <c r="G62" s="49"/>
      <c r="H62" s="49"/>
      <c r="I62" s="49"/>
      <c r="J62" s="49"/>
      <c r="K62" s="49"/>
      <c r="L62" s="49"/>
      <c r="M62" s="49"/>
      <c r="N62" s="235"/>
      <c r="O62" s="49"/>
      <c r="P62" s="49"/>
      <c r="Q62" s="49"/>
      <c r="R62" s="252"/>
      <c r="S62" s="49"/>
      <c r="T62" s="49"/>
      <c r="U62" s="49"/>
      <c r="V62" s="49"/>
      <c r="W62" s="49"/>
      <c r="X62" s="49"/>
      <c r="Y62" s="49"/>
      <c r="Z62" s="49"/>
      <c r="AA62" s="49"/>
      <c r="AB62" s="49"/>
      <c r="AC62" s="49"/>
      <c r="AD62" s="49"/>
      <c r="AE62" s="49"/>
      <c r="AF62" s="49"/>
      <c r="AG62" s="49"/>
      <c r="AH62" s="49"/>
      <c r="AI62" s="47"/>
      <c r="AU62" s="22"/>
    </row>
    <row r="63" spans="2:35" ht="16.2" thickBot="1">
      <c r="B63" s="17"/>
      <c r="C63" s="50"/>
      <c r="D63" s="265"/>
      <c r="E63" s="265"/>
      <c r="F63" s="265"/>
      <c r="G63" s="265"/>
      <c r="H63" s="222"/>
      <c r="I63" s="222"/>
      <c r="J63" s="222"/>
      <c r="K63" s="222"/>
      <c r="L63" s="222"/>
      <c r="M63" s="222"/>
      <c r="N63" s="222"/>
      <c r="O63" s="222"/>
      <c r="P63" s="222"/>
      <c r="Q63" s="222"/>
      <c r="R63" s="222"/>
      <c r="S63" s="222"/>
      <c r="T63" s="222"/>
      <c r="U63" s="222"/>
      <c r="V63" s="222"/>
      <c r="W63" s="222"/>
      <c r="X63" s="222"/>
      <c r="Y63" s="222"/>
      <c r="Z63" s="222"/>
      <c r="AA63" s="265"/>
      <c r="AB63" s="265"/>
      <c r="AC63" s="265"/>
      <c r="AD63" s="265"/>
      <c r="AE63" s="265"/>
      <c r="AF63" s="265"/>
      <c r="AG63" s="265"/>
      <c r="AH63" s="265"/>
      <c r="AI63" s="52"/>
    </row>
    <row r="64" spans="3:35" ht="15.6">
      <c r="C64" s="40"/>
      <c r="D64" s="224"/>
      <c r="E64" s="224"/>
      <c r="F64" s="224"/>
      <c r="G64" s="224"/>
      <c r="H64" s="228"/>
      <c r="I64" s="266"/>
      <c r="J64" s="266"/>
      <c r="K64" s="266"/>
      <c r="L64" s="266"/>
      <c r="M64" s="266"/>
      <c r="N64" s="266"/>
      <c r="O64" s="266"/>
      <c r="P64" s="266"/>
      <c r="Q64" s="266"/>
      <c r="R64" s="266"/>
      <c r="S64" s="266"/>
      <c r="T64" s="266"/>
      <c r="U64" s="266"/>
      <c r="V64" s="266"/>
      <c r="W64" s="266"/>
      <c r="X64" s="266"/>
      <c r="Y64" s="222"/>
      <c r="Z64" s="230"/>
      <c r="AA64" s="224"/>
      <c r="AB64" s="224"/>
      <c r="AC64" s="224"/>
      <c r="AD64" s="224"/>
      <c r="AE64" s="224"/>
      <c r="AF64" s="224"/>
      <c r="AG64" s="224"/>
      <c r="AH64" s="224"/>
      <c r="AI64" s="40"/>
    </row>
    <row r="65" spans="3:35" ht="15.6">
      <c r="C65" s="40"/>
      <c r="D65" s="224"/>
      <c r="E65" s="224"/>
      <c r="F65" s="224"/>
      <c r="G65" s="224"/>
      <c r="H65" s="228"/>
      <c r="I65" s="222"/>
      <c r="J65" s="48" t="s">
        <v>297</v>
      </c>
      <c r="K65" s="138" t="s">
        <v>298</v>
      </c>
      <c r="L65" s="138"/>
      <c r="M65" s="138"/>
      <c r="N65" s="138"/>
      <c r="O65" s="49"/>
      <c r="P65" s="49"/>
      <c r="Q65" s="49"/>
      <c r="R65" s="49"/>
      <c r="S65" s="49"/>
      <c r="T65" s="49"/>
      <c r="U65" s="140" t="s">
        <v>240</v>
      </c>
      <c r="V65" s="49" t="str">
        <f>IF(ISNUMBER(L51),"Value","")</f>
        <v/>
      </c>
      <c r="W65" s="49"/>
      <c r="X65" s="140" t="s">
        <v>241</v>
      </c>
      <c r="Y65" s="222"/>
      <c r="Z65" s="230"/>
      <c r="AA65" s="224"/>
      <c r="AB65" s="224"/>
      <c r="AC65" s="224"/>
      <c r="AD65" s="224"/>
      <c r="AE65" s="345"/>
      <c r="AF65" s="224"/>
      <c r="AG65" s="224"/>
      <c r="AH65" s="224"/>
      <c r="AI65" s="40"/>
    </row>
    <row r="66" spans="3:35" ht="15.6">
      <c r="C66" s="40"/>
      <c r="D66" s="224"/>
      <c r="E66" s="224"/>
      <c r="F66" s="224"/>
      <c r="G66" s="224"/>
      <c r="H66" s="228"/>
      <c r="I66" s="222"/>
      <c r="J66" s="49"/>
      <c r="K66" s="49"/>
      <c r="L66" s="49"/>
      <c r="M66" s="49"/>
      <c r="N66" s="49"/>
      <c r="O66" s="49"/>
      <c r="P66" s="49"/>
      <c r="Q66" s="49"/>
      <c r="R66" s="49"/>
      <c r="S66" s="49"/>
      <c r="T66" s="49"/>
      <c r="U66" s="49" t="s">
        <v>299</v>
      </c>
      <c r="V66" s="49" t="str">
        <f>IF(ISNUMBER(L52),"Post 2025","")</f>
        <v/>
      </c>
      <c r="W66" s="49" t="s">
        <v>300</v>
      </c>
      <c r="X66" s="49"/>
      <c r="Y66" s="222"/>
      <c r="Z66" s="230"/>
      <c r="AA66" s="224"/>
      <c r="AB66" s="224"/>
      <c r="AC66" s="224"/>
      <c r="AD66" s="224"/>
      <c r="AE66" s="345"/>
      <c r="AF66" s="224"/>
      <c r="AG66" s="224"/>
      <c r="AH66" s="224"/>
      <c r="AI66" s="40"/>
    </row>
    <row r="67" spans="3:35" ht="15.6">
      <c r="C67" s="40"/>
      <c r="D67" s="224"/>
      <c r="E67" s="224"/>
      <c r="F67" s="224"/>
      <c r="G67" s="224"/>
      <c r="H67" s="228"/>
      <c r="I67" s="222"/>
      <c r="J67" s="49"/>
      <c r="K67" s="142" t="s">
        <v>301</v>
      </c>
      <c r="L67" s="142"/>
      <c r="M67" s="142"/>
      <c r="N67" s="142"/>
      <c r="O67" s="142"/>
      <c r="P67" s="38"/>
      <c r="Q67" s="38"/>
      <c r="R67" s="38"/>
      <c r="S67" s="38"/>
      <c r="T67" s="38"/>
      <c r="U67" s="267">
        <f>(K60+AD60)</f>
        <v>0</v>
      </c>
      <c r="V67" s="263" t="str">
        <f>IF(ISNUMBER(L52),L60+AD60,"")</f>
        <v/>
      </c>
      <c r="W67" s="348">
        <f>(M60+AD60)</f>
        <v>0</v>
      </c>
      <c r="X67" s="241" t="s">
        <v>302</v>
      </c>
      <c r="Y67" s="222"/>
      <c r="Z67" s="230"/>
      <c r="AA67" s="224"/>
      <c r="AB67" s="224"/>
      <c r="AC67" s="224"/>
      <c r="AD67" s="224"/>
      <c r="AE67" s="345"/>
      <c r="AF67" s="224"/>
      <c r="AG67" s="224"/>
      <c r="AH67" s="224"/>
      <c r="AI67" s="40"/>
    </row>
    <row r="68" spans="3:35" ht="15.6">
      <c r="C68" s="40"/>
      <c r="D68" s="224"/>
      <c r="E68" s="224"/>
      <c r="F68" s="224"/>
      <c r="G68" s="224"/>
      <c r="H68" s="228"/>
      <c r="I68" s="222"/>
      <c r="J68" s="49"/>
      <c r="K68" s="49"/>
      <c r="L68" s="49"/>
      <c r="M68" s="49"/>
      <c r="N68" s="49"/>
      <c r="O68" s="49"/>
      <c r="P68" s="49"/>
      <c r="Q68" s="49"/>
      <c r="R68" s="49"/>
      <c r="S68" s="49"/>
      <c r="T68" s="49"/>
      <c r="U68" s="49"/>
      <c r="V68" s="49"/>
      <c r="W68" s="49"/>
      <c r="X68" s="241"/>
      <c r="Y68" s="222"/>
      <c r="Z68" s="230"/>
      <c r="AA68" s="224"/>
      <c r="AB68" s="224"/>
      <c r="AC68" s="224"/>
      <c r="AD68" s="224"/>
      <c r="AE68" s="224"/>
      <c r="AF68" s="224"/>
      <c r="AG68" s="224"/>
      <c r="AH68" s="224"/>
      <c r="AI68" s="40"/>
    </row>
    <row r="69" spans="3:35" ht="24" customHeight="1">
      <c r="C69" s="40"/>
      <c r="D69" s="224"/>
      <c r="E69" s="224"/>
      <c r="F69" s="224"/>
      <c r="G69" s="224"/>
      <c r="H69" s="228"/>
      <c r="I69" s="222"/>
      <c r="J69" s="49"/>
      <c r="K69" s="369" t="s">
        <v>303</v>
      </c>
      <c r="L69" s="369"/>
      <c r="M69" s="369"/>
      <c r="N69" s="369"/>
      <c r="O69" s="221"/>
      <c r="P69" s="221"/>
      <c r="Q69" s="221"/>
      <c r="R69" s="221"/>
      <c r="S69" s="221"/>
      <c r="T69" s="221"/>
      <c r="U69" s="267">
        <f>(K61+AD61)</f>
        <v>0</v>
      </c>
      <c r="V69" s="263"/>
      <c r="W69" s="348">
        <f>(M61+AD61)</f>
        <v>0</v>
      </c>
      <c r="X69" s="241" t="s">
        <v>302</v>
      </c>
      <c r="Y69" s="222"/>
      <c r="Z69" s="230"/>
      <c r="AA69" s="224"/>
      <c r="AB69" s="224"/>
      <c r="AC69" s="224"/>
      <c r="AD69" s="224"/>
      <c r="AE69" s="224"/>
      <c r="AF69" s="224"/>
      <c r="AG69" s="224"/>
      <c r="AH69" s="224"/>
      <c r="AI69" s="40"/>
    </row>
    <row r="70" spans="3:35" ht="16.2" thickBot="1">
      <c r="C70" s="40"/>
      <c r="D70" s="224"/>
      <c r="E70" s="224"/>
      <c r="F70" s="224"/>
      <c r="G70" s="224"/>
      <c r="H70" s="268"/>
      <c r="I70" s="265"/>
      <c r="J70" s="265"/>
      <c r="K70" s="265"/>
      <c r="L70" s="265"/>
      <c r="M70" s="265"/>
      <c r="N70" s="265"/>
      <c r="O70" s="265"/>
      <c r="P70" s="265"/>
      <c r="Q70" s="265"/>
      <c r="R70" s="265"/>
      <c r="S70" s="265"/>
      <c r="T70" s="265"/>
      <c r="U70" s="265"/>
      <c r="V70" s="265"/>
      <c r="W70" s="265"/>
      <c r="X70" s="265"/>
      <c r="Y70" s="265"/>
      <c r="Z70" s="269"/>
      <c r="AA70" s="224"/>
      <c r="AB70" s="224"/>
      <c r="AC70" s="224"/>
      <c r="AD70" s="224"/>
      <c r="AE70" s="224"/>
      <c r="AF70" s="224"/>
      <c r="AG70" s="224"/>
      <c r="AH70" s="224"/>
      <c r="AI70" s="40"/>
    </row>
    <row r="71" spans="4:34" ht="15">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4:34" ht="15">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row>
  </sheetData>
  <sheetProtection algorithmName="SHA-512" hashValue="IGlNfnx+5uPRIMY60oatRBF7sUri35BiiwT1e3kO1npvHQOJ+zVOC+arzJ4kPVDKzibO4zYKA5+pWQju/n078g==" saltValue="0pKBPFaf9ZQ2/gRsv4PuuQ==" spinCount="100000" sheet="1" selectLockedCells="1"/>
  <mergeCells count="49">
    <mergeCell ref="K69:N69"/>
    <mergeCell ref="T52:X52"/>
    <mergeCell ref="T53:X53"/>
    <mergeCell ref="T60:AA60"/>
    <mergeCell ref="AL55:AX55"/>
    <mergeCell ref="T61:AA61"/>
    <mergeCell ref="K3:X3"/>
    <mergeCell ref="I4:X6"/>
    <mergeCell ref="I36:X36"/>
    <mergeCell ref="I3:J3"/>
    <mergeCell ref="I38:X38"/>
    <mergeCell ref="K8:U8"/>
    <mergeCell ref="K15:U15"/>
    <mergeCell ref="K17:U17"/>
    <mergeCell ref="K18:U18"/>
    <mergeCell ref="K12:N12"/>
    <mergeCell ref="K19:U19"/>
    <mergeCell ref="K20:U20"/>
    <mergeCell ref="K22:U22"/>
    <mergeCell ref="K23:U23"/>
    <mergeCell ref="K24:U24"/>
    <mergeCell ref="K25:U25"/>
    <mergeCell ref="D43:Q45"/>
    <mergeCell ref="T43:AH45"/>
    <mergeCell ref="D55:Q55"/>
    <mergeCell ref="T55:AH55"/>
    <mergeCell ref="K28:U28"/>
    <mergeCell ref="V40:AC40"/>
    <mergeCell ref="E40:K41"/>
    <mergeCell ref="K35:R35"/>
    <mergeCell ref="X33:Y33"/>
    <mergeCell ref="U42:AH42"/>
    <mergeCell ref="E42:Q42"/>
    <mergeCell ref="D61:F61"/>
    <mergeCell ref="D60:F60"/>
    <mergeCell ref="K65:N65"/>
    <mergeCell ref="K67:O67"/>
    <mergeCell ref="K11:U11"/>
    <mergeCell ref="D58:J58"/>
    <mergeCell ref="T48:AC48"/>
    <mergeCell ref="T50:AB50"/>
    <mergeCell ref="D52:F52"/>
    <mergeCell ref="T51:AA51"/>
    <mergeCell ref="T58:AC58"/>
    <mergeCell ref="D48:J48"/>
    <mergeCell ref="D50:J50"/>
    <mergeCell ref="K31:N31"/>
    <mergeCell ref="K33:N33"/>
    <mergeCell ref="K14:U14"/>
  </mergeCells>
  <conditionalFormatting sqref="L52">
    <cfRule type="expression" dxfId="30" priority="1">
      <formula>AND($L$52&lt;K52)</formula>
    </cfRule>
  </conditionalFormatting>
  <conditionalFormatting sqref="L53">
    <cfRule type="expression" dxfId="29" priority="4">
      <formula>AND($L$53&lt;K54)</formula>
    </cfRule>
  </conditionalFormatting>
  <conditionalFormatting sqref="L60">
    <cfRule type="expression" dxfId="28" priority="3">
      <formula>AND($L$52&lt;K52)</formula>
    </cfRule>
  </conditionalFormatting>
  <conditionalFormatting sqref="V67">
    <cfRule type="expression" dxfId="27" priority="2">
      <formula>AND($L$52&lt;K52)</formula>
    </cfRule>
  </conditionalFormatting>
  <conditionalFormatting sqref="AE52">
    <cfRule type="expression" dxfId="26" priority="6">
      <formula>AND($AD52="Please enter effluent concentration in cell to right:","1")</formula>
    </cfRule>
  </conditionalFormatting>
  <conditionalFormatting sqref="AE53">
    <cfRule type="expression" dxfId="25" priority="5">
      <formula>AND($AD52="Please enter effluent concentration in cell to right:","1")</formula>
    </cfRule>
  </conditionalFormatting>
  <dataValidations count="3">
    <dataValidation type="list" allowBlank="1" showInputMessage="1" showErrorMessage="1" sqref="K50">
      <formula1>Wastewater</formula1>
    </dataValidation>
    <dataValidation type="list" allowBlank="1" showInputMessage="1" showErrorMessage="1" sqref="N40 AD40">
      <formula1>"Yes, No"</formula1>
    </dataValidation>
    <dataValidation type="list" allowBlank="1" showInputMessage="1" showErrorMessage="1" sqref="AD50">
      <formula1>OsTWs</formula1>
    </dataValidation>
  </dataValidations>
  <pageMargins left="0.70866141732283472" right="0.70866141732283472" top="0.74803149606299213" bottom="0.74803149606299213" header="0.31496062992125984" footer="0.31496062992125984"/>
  <pageSetup paperSize="9" scale="38" orientation="landscape" horizontalDpi="360" verticalDpi="360"/>
  <headerFooter scaleWithDoc="1" alignWithMargins="1" differentFirst="0" differentOddEven="0">
    <oddHeader>&amp;LPhosphate Budget Calculator&amp;CStage 1</oddHeader>
    <oddFooter>&amp;LVersion 2.2&amp;R&amp;D</oddFooter>
  </headerFooter>
  <customProperties>
    <customPr name="SSC_SHEET_GUID" r:id="rId2"/>
  </customProperties>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BC50"/>
  <sheetViews>
    <sheetView topLeftCell="A30" view="normal" workbookViewId="0">
      <selection pane="topLeft" activeCell="K14" sqref="K14"/>
    </sheetView>
  </sheetViews>
  <sheetFormatPr defaultRowHeight="13.2"/>
  <cols>
    <col min="2" max="3" width="0.70703125" customWidth="1"/>
    <col min="4" max="4" width="2.27734375" customWidth="1"/>
    <col min="9" max="9" width="12.27734375" customWidth="1"/>
    <col min="10" max="10" width="8.41796875" customWidth="1"/>
    <col min="11" max="11" width="19.5703125" customWidth="1"/>
    <col min="12" max="12" width="11.27734375" customWidth="1"/>
    <col min="13" max="13" width="3" customWidth="1"/>
    <col min="14" max="14" width="1.7109375" customWidth="1"/>
    <col min="15" max="15" width="8.41796875" customWidth="1"/>
    <col min="16" max="16" width="1.7109375" customWidth="1"/>
    <col min="17" max="17" width="9" customWidth="1"/>
    <col min="18" max="18" width="3.27734375" customWidth="1"/>
    <col min="19" max="19" width="6.27734375" customWidth="1"/>
    <col min="20" max="20" width="0.70703125" customWidth="1"/>
    <col min="22" max="22" width="16.7109375" customWidth="1"/>
    <col min="23" max="23" width="12.5703125" customWidth="1"/>
    <col min="28" max="28" width="11.27734375" customWidth="1"/>
    <col min="29" max="29" width="12.27734375" customWidth="1"/>
  </cols>
  <sheetData>
    <row r="1" spans="1:1" ht="14.4" thickBot="1">
      <c r="A1" s="40" t="s">
        <v>25</v>
      </c>
    </row>
    <row r="2" spans="2:20" ht="3.6" customHeight="1">
      <c r="B2" s="1"/>
      <c r="C2" s="2"/>
      <c r="D2" s="2"/>
      <c r="E2" s="2"/>
      <c r="F2" s="2"/>
      <c r="G2" s="2"/>
      <c r="H2" s="2"/>
      <c r="I2" s="2"/>
      <c r="J2" s="2"/>
      <c r="K2" s="2"/>
      <c r="L2" s="2"/>
      <c r="M2" s="2"/>
      <c r="N2" s="2"/>
      <c r="O2" s="2"/>
      <c r="P2" s="2"/>
      <c r="Q2" s="2"/>
      <c r="R2" s="2"/>
      <c r="S2" s="2"/>
      <c r="T2" s="3"/>
    </row>
    <row r="3" spans="2:20" ht="28.5" customHeight="1">
      <c r="B3" s="4"/>
      <c r="C3" s="40"/>
      <c r="D3" s="272"/>
      <c r="E3" s="192" t="s">
        <v>25</v>
      </c>
      <c r="F3" s="229" t="s">
        <v>304</v>
      </c>
      <c r="G3" s="229"/>
      <c r="H3" s="229"/>
      <c r="I3" s="229"/>
      <c r="J3" s="229"/>
      <c r="K3" s="229"/>
      <c r="L3" s="229"/>
      <c r="M3" s="229"/>
      <c r="N3" s="229"/>
      <c r="O3" s="229"/>
      <c r="P3" s="229"/>
      <c r="Q3" s="229"/>
      <c r="R3" s="229"/>
      <c r="S3" s="229"/>
      <c r="T3" s="6"/>
    </row>
    <row r="4" spans="2:20" ht="1.5" customHeight="1">
      <c r="B4" s="4"/>
      <c r="C4" s="54"/>
      <c r="D4" s="273"/>
      <c r="E4" s="232" t="s">
        <v>305</v>
      </c>
      <c r="F4" s="232"/>
      <c r="G4" s="232"/>
      <c r="H4" s="232"/>
      <c r="I4" s="232"/>
      <c r="J4" s="232"/>
      <c r="K4" s="232"/>
      <c r="L4" s="232"/>
      <c r="M4" s="232"/>
      <c r="N4" s="232"/>
      <c r="O4" s="232"/>
      <c r="P4" s="232"/>
      <c r="Q4" s="232"/>
      <c r="R4" s="232"/>
      <c r="S4" s="232"/>
      <c r="T4" s="6"/>
    </row>
    <row r="5" spans="2:20" ht="15.6">
      <c r="B5" s="4"/>
      <c r="C5" s="54"/>
      <c r="D5" s="273"/>
      <c r="E5" s="232"/>
      <c r="F5" s="232"/>
      <c r="G5" s="232"/>
      <c r="H5" s="232"/>
      <c r="I5" s="232"/>
      <c r="J5" s="232"/>
      <c r="K5" s="232"/>
      <c r="L5" s="232"/>
      <c r="M5" s="232"/>
      <c r="N5" s="232"/>
      <c r="O5" s="232"/>
      <c r="P5" s="232"/>
      <c r="Q5" s="232"/>
      <c r="R5" s="232"/>
      <c r="S5" s="232"/>
      <c r="T5" s="6"/>
    </row>
    <row r="6" spans="2:20" ht="23.7" customHeight="1">
      <c r="B6" s="4"/>
      <c r="C6" s="42"/>
      <c r="D6" s="222"/>
      <c r="E6" s="264"/>
      <c r="F6" s="264"/>
      <c r="G6" s="264"/>
      <c r="H6" s="264"/>
      <c r="I6" s="264"/>
      <c r="J6" s="264"/>
      <c r="K6" s="264"/>
      <c r="L6" s="264"/>
      <c r="M6" s="264"/>
      <c r="N6" s="264"/>
      <c r="O6" s="264"/>
      <c r="P6" s="264"/>
      <c r="Q6" s="264"/>
      <c r="R6" s="264"/>
      <c r="S6" s="264"/>
      <c r="T6" s="6"/>
    </row>
    <row r="7" spans="2:20" ht="4.2" customHeight="1">
      <c r="B7" s="4"/>
      <c r="C7" s="42"/>
      <c r="D7" s="266"/>
      <c r="E7" s="274"/>
      <c r="F7" s="274"/>
      <c r="G7" s="274"/>
      <c r="H7" s="274"/>
      <c r="I7" s="274"/>
      <c r="J7" s="274"/>
      <c r="K7" s="274"/>
      <c r="L7" s="274"/>
      <c r="M7" s="274"/>
      <c r="N7" s="232"/>
      <c r="O7" s="232"/>
      <c r="P7" s="232"/>
      <c r="Q7" s="232"/>
      <c r="R7" s="232"/>
      <c r="S7" s="232"/>
      <c r="T7" s="6"/>
    </row>
    <row r="8" spans="2:20" ht="15.6">
      <c r="B8" s="4"/>
      <c r="C8" s="42"/>
      <c r="D8" s="222"/>
      <c r="E8" s="48" t="s">
        <v>238</v>
      </c>
      <c r="F8" s="138" t="s">
        <v>306</v>
      </c>
      <c r="G8" s="138"/>
      <c r="H8" s="138"/>
      <c r="I8" s="138"/>
      <c r="J8" s="138"/>
      <c r="K8" s="140" t="s">
        <v>240</v>
      </c>
      <c r="L8" s="140" t="s">
        <v>241</v>
      </c>
      <c r="M8" s="49"/>
      <c r="N8" s="49"/>
      <c r="O8" s="49"/>
      <c r="P8" s="49"/>
      <c r="Q8" s="49"/>
      <c r="R8" s="49"/>
      <c r="S8" s="49"/>
      <c r="T8" s="6"/>
    </row>
    <row r="9" spans="2:20" ht="9.6" customHeight="1">
      <c r="B9" s="4"/>
      <c r="C9" s="42"/>
      <c r="D9" s="222"/>
      <c r="E9" s="48"/>
      <c r="F9" s="138"/>
      <c r="G9" s="138"/>
      <c r="H9" s="138"/>
      <c r="I9" s="138"/>
      <c r="J9" s="138"/>
      <c r="K9" s="140"/>
      <c r="L9" s="140"/>
      <c r="M9" s="49"/>
      <c r="N9" s="49"/>
      <c r="O9" s="49"/>
      <c r="P9" s="49"/>
      <c r="Q9" s="49"/>
      <c r="R9" s="49"/>
      <c r="S9" s="49"/>
      <c r="T9" s="6"/>
    </row>
    <row r="10" spans="2:20" ht="32.7" customHeight="1">
      <c r="B10" s="4"/>
      <c r="C10" s="42"/>
      <c r="D10" s="440" t="s">
        <v>307</v>
      </c>
      <c r="E10" s="440"/>
      <c r="F10" s="440"/>
      <c r="G10" s="440"/>
      <c r="H10" s="440"/>
      <c r="I10" s="440"/>
      <c r="J10" s="440"/>
      <c r="K10" s="440"/>
      <c r="L10" s="440"/>
      <c r="M10" s="440"/>
      <c r="N10" s="440"/>
      <c r="O10" s="440"/>
      <c r="P10" s="440"/>
      <c r="Q10" s="440"/>
      <c r="R10" s="440"/>
      <c r="S10" s="440"/>
      <c r="T10" s="6"/>
    </row>
    <row r="11" spans="2:20" ht="9.6" customHeight="1">
      <c r="B11" s="4"/>
      <c r="C11" s="42"/>
      <c r="D11" s="222"/>
      <c r="E11" s="48"/>
      <c r="F11" s="138"/>
      <c r="G11" s="138"/>
      <c r="H11" s="138"/>
      <c r="I11" s="138"/>
      <c r="J11" s="138"/>
      <c r="K11" s="140"/>
      <c r="L11" s="140"/>
      <c r="M11" s="49"/>
      <c r="N11" s="49"/>
      <c r="O11" s="49"/>
      <c r="P11" s="49"/>
      <c r="Q11" s="49"/>
      <c r="R11" s="49"/>
      <c r="S11" s="49"/>
      <c r="T11" s="6"/>
    </row>
    <row r="12" spans="2:20" ht="15" customHeight="1">
      <c r="B12" s="4"/>
      <c r="C12" s="42"/>
      <c r="D12" s="222"/>
      <c r="E12" s="48"/>
      <c r="F12" s="138" t="s">
        <v>308</v>
      </c>
      <c r="G12" s="138"/>
      <c r="H12" s="138"/>
      <c r="I12" s="138"/>
      <c r="J12" s="138"/>
      <c r="K12" s="233" t="s">
        <v>309</v>
      </c>
      <c r="L12" s="140"/>
      <c r="M12" s="49"/>
      <c r="N12" s="49"/>
      <c r="O12" s="49"/>
      <c r="P12" s="49"/>
      <c r="Q12" s="49"/>
      <c r="R12" s="49"/>
      <c r="S12" s="49"/>
      <c r="T12" s="6"/>
    </row>
    <row r="13" spans="2:20" ht="15.6">
      <c r="B13" s="4"/>
      <c r="C13" s="42"/>
      <c r="D13" s="222"/>
      <c r="E13" s="48"/>
      <c r="F13" s="138" t="s">
        <v>310</v>
      </c>
      <c r="G13" s="138"/>
      <c r="H13" s="138"/>
      <c r="I13" s="138"/>
      <c r="J13" s="138"/>
      <c r="K13" s="251" t="s">
        <v>311</v>
      </c>
      <c r="L13" s="140"/>
      <c r="M13" s="49"/>
      <c r="N13" s="49"/>
      <c r="O13" s="49"/>
      <c r="P13" s="49"/>
      <c r="Q13" s="49"/>
      <c r="R13" s="49"/>
      <c r="S13" s="49"/>
      <c r="T13" s="6"/>
    </row>
    <row r="14" spans="2:20" ht="15.6">
      <c r="B14" s="4"/>
      <c r="C14" s="42"/>
      <c r="D14" s="222"/>
      <c r="E14" s="48"/>
      <c r="F14" s="138" t="s">
        <v>312</v>
      </c>
      <c r="G14" s="138"/>
      <c r="H14" s="138"/>
      <c r="I14" s="138"/>
      <c r="J14" s="138"/>
      <c r="K14" s="233" t="s">
        <v>313</v>
      </c>
      <c r="L14" s="140" t="s">
        <v>314</v>
      </c>
      <c r="M14" s="49"/>
      <c r="N14" s="49"/>
      <c r="O14" s="49"/>
      <c r="P14" s="49"/>
      <c r="Q14" s="49"/>
      <c r="R14" s="49"/>
      <c r="S14" s="49"/>
      <c r="T14" s="6"/>
    </row>
    <row r="15" spans="2:20" ht="15.6">
      <c r="B15" s="4"/>
      <c r="C15" s="42"/>
      <c r="D15" s="222"/>
      <c r="E15" s="48"/>
      <c r="F15" s="138" t="s">
        <v>315</v>
      </c>
      <c r="G15" s="138"/>
      <c r="H15" s="138"/>
      <c r="I15" s="138"/>
      <c r="J15" s="138"/>
      <c r="K15" s="233" t="s">
        <v>267</v>
      </c>
      <c r="L15" s="140"/>
      <c r="M15" s="49"/>
      <c r="N15" s="49"/>
      <c r="O15" s="49"/>
      <c r="P15" s="49"/>
      <c r="Q15" s="49"/>
      <c r="R15" s="49"/>
      <c r="S15" s="49"/>
      <c r="T15" s="6"/>
    </row>
    <row r="16" spans="2:20" ht="6.6" customHeight="1">
      <c r="B16" s="4"/>
      <c r="C16" s="42"/>
      <c r="D16" s="222"/>
      <c r="E16" s="48"/>
      <c r="F16" s="49"/>
      <c r="G16" s="49"/>
      <c r="H16" s="49"/>
      <c r="I16" s="49"/>
      <c r="J16" s="49"/>
      <c r="K16" s="140"/>
      <c r="L16" s="140"/>
      <c r="M16" s="49"/>
      <c r="N16" s="49"/>
      <c r="O16" s="49"/>
      <c r="P16" s="49"/>
      <c r="Q16" s="49"/>
      <c r="R16" s="49"/>
      <c r="S16" s="49"/>
      <c r="T16" s="6"/>
    </row>
    <row r="17" spans="2:20" ht="16.2" customHeight="1">
      <c r="B17" s="4"/>
      <c r="C17" s="42"/>
      <c r="D17" s="222"/>
      <c r="E17" s="437" t="s">
        <v>316</v>
      </c>
      <c r="F17" s="437"/>
      <c r="G17" s="437"/>
      <c r="H17" s="437"/>
      <c r="I17" s="437"/>
      <c r="J17" s="437"/>
      <c r="K17" s="437"/>
      <c r="L17" s="437"/>
      <c r="M17" s="437"/>
      <c r="N17" s="437"/>
      <c r="O17" s="437"/>
      <c r="P17" s="437"/>
      <c r="Q17" s="437"/>
      <c r="R17" s="437"/>
      <c r="S17" s="437"/>
      <c r="T17" s="6"/>
    </row>
    <row r="18" spans="2:20" ht="18.6" customHeight="1">
      <c r="B18" s="4"/>
      <c r="C18" s="42"/>
      <c r="D18" s="222"/>
      <c r="E18" s="436" t="s">
        <v>317</v>
      </c>
      <c r="F18" s="436"/>
      <c r="G18" s="436"/>
      <c r="H18" s="436"/>
      <c r="I18" s="436"/>
      <c r="J18" s="436"/>
      <c r="K18" s="436"/>
      <c r="L18" s="436"/>
      <c r="M18" s="436"/>
      <c r="N18" s="436"/>
      <c r="O18" s="436"/>
      <c r="P18" s="436"/>
      <c r="Q18" s="436"/>
      <c r="R18" s="436"/>
      <c r="S18" s="436"/>
      <c r="T18" s="6"/>
    </row>
    <row r="19" spans="2:20" ht="18.6" customHeight="1">
      <c r="B19" s="4"/>
      <c r="C19" s="42"/>
      <c r="D19" s="222"/>
      <c r="E19" s="436" t="s">
        <v>318</v>
      </c>
      <c r="F19" s="436"/>
      <c r="G19" s="436"/>
      <c r="H19" s="436"/>
      <c r="I19" s="436"/>
      <c r="J19" s="436"/>
      <c r="K19" s="436"/>
      <c r="L19" s="436"/>
      <c r="M19" s="436"/>
      <c r="N19" s="436"/>
      <c r="O19" s="436"/>
      <c r="P19" s="436"/>
      <c r="Q19" s="436"/>
      <c r="R19" s="436"/>
      <c r="S19" s="436"/>
      <c r="T19" s="6"/>
    </row>
    <row r="20" spans="2:20" ht="19.2" customHeight="1">
      <c r="B20" s="4"/>
      <c r="C20" s="42"/>
      <c r="D20" s="222"/>
      <c r="E20" s="436" t="s">
        <v>319</v>
      </c>
      <c r="F20" s="436"/>
      <c r="G20" s="436"/>
      <c r="H20" s="436"/>
      <c r="I20" s="436"/>
      <c r="J20" s="436"/>
      <c r="K20" s="436"/>
      <c r="L20" s="436"/>
      <c r="M20" s="436"/>
      <c r="N20" s="436"/>
      <c r="O20" s="436"/>
      <c r="P20" s="436"/>
      <c r="Q20" s="436"/>
      <c r="R20" s="436"/>
      <c r="S20" s="436"/>
      <c r="T20" s="6"/>
    </row>
    <row r="21" spans="2:20" ht="41.1" customHeight="1">
      <c r="B21" s="4"/>
      <c r="C21" s="42"/>
      <c r="D21" s="222"/>
      <c r="E21" s="48" t="s">
        <v>259</v>
      </c>
      <c r="F21" s="49" t="s">
        <v>320</v>
      </c>
      <c r="G21" s="49"/>
      <c r="H21" s="49"/>
      <c r="I21" s="49"/>
      <c r="J21" s="49"/>
      <c r="K21" s="140"/>
      <c r="L21" s="140"/>
      <c r="M21" s="49"/>
      <c r="N21" s="49"/>
      <c r="O21" s="275" t="s">
        <v>321</v>
      </c>
      <c r="P21" s="275"/>
      <c r="Q21" s="275" t="s">
        <v>322</v>
      </c>
      <c r="R21" s="49"/>
      <c r="S21" s="49"/>
      <c r="T21" s="6"/>
    </row>
    <row r="22" spans="2:34" ht="14.7" customHeight="1">
      <c r="B22" s="4"/>
      <c r="C22" s="42"/>
      <c r="D22" s="222"/>
      <c r="E22" s="49"/>
      <c r="F22" s="138" t="str">
        <f>'Data Tables'!AC37</f>
        <v>High density residential</v>
      </c>
      <c r="G22" s="138"/>
      <c r="H22" s="138"/>
      <c r="I22" s="138"/>
      <c r="J22" s="138"/>
      <c r="K22" s="276"/>
      <c r="L22" s="235" t="s">
        <v>323</v>
      </c>
      <c r="M22" s="49"/>
      <c r="N22" s="49"/>
      <c r="O22" s="277">
        <f>$K22*IF($K$14="550-575",'Data Tables'!AC39,IF($K$14="575-600",'Data Tables'!AC40,IF($K$14="600-625",'Data Tables'!AC41,IF($K$14="625-650",'Data Tables'!AC42,IF($K$14="650-675",'Data Tables'!AC43,IF($K$14="675-700",'Data Tables'!AC44,IF($K$14="700-750",'Data Tables'!AC45,IF($K$14="750-800",'Data Tables'!AC46,IF($K$14="800-850",'Data Tables'!AC47,'Data Tables'!AC48)))))))))</f>
        <v>0</v>
      </c>
      <c r="P22" s="278"/>
      <c r="Q22" s="279">
        <f>$K22*IF($K$14="550-575",'Data Tables'!AD39,IF($K$14="575-600",'Data Tables'!AD40,IF($K$14="600-625",'Data Tables'!AD41,IF($K$14="625-650",'Data Tables'!AD42,IF($K$14="650-675",'Data Tables'!AD43,IF($K$14="675-700",'Data Tables'!AD44,IF($K$14="700-750",'Data Tables'!AD45,IF($K$14="750-800",'Data Tables'!AD46,IF($K$14="800-850",'Data Tables'!AD47,'Data Tables'!AD48)))))))))</f>
        <v>0</v>
      </c>
      <c r="R22" s="280"/>
      <c r="S22" s="49" t="s">
        <v>324</v>
      </c>
      <c r="T22" s="6"/>
      <c r="W22" s="352"/>
      <c r="X22" s="352"/>
      <c r="Y22" s="352"/>
      <c r="Z22" s="352"/>
      <c r="AA22" s="352"/>
      <c r="AB22" s="352"/>
      <c r="AC22" s="438"/>
      <c r="AD22" s="438"/>
      <c r="AE22" s="438"/>
      <c r="AF22" s="438"/>
      <c r="AG22" s="438"/>
      <c r="AH22" s="438"/>
    </row>
    <row r="23" spans="2:34" ht="14.7" customHeight="1">
      <c r="B23" s="4"/>
      <c r="C23" s="42"/>
      <c r="D23" s="222"/>
      <c r="E23" s="49"/>
      <c r="F23" s="138" t="str">
        <f>'Data Tables'!AE37</f>
        <v>Medium density residential</v>
      </c>
      <c r="G23" s="138"/>
      <c r="H23" s="138"/>
      <c r="I23" s="138"/>
      <c r="J23" s="138"/>
      <c r="K23" s="276"/>
      <c r="L23" s="235" t="s">
        <v>323</v>
      </c>
      <c r="M23" s="49"/>
      <c r="N23" s="49"/>
      <c r="O23" s="277">
        <f>$K23*IF($K$14="550-575",'Data Tables'!AE39,IF($K$14="575-600",'Data Tables'!AE40,IF($K$14="600-625",'Data Tables'!AE41,IF($K$14="625-650",'Data Tables'!AE42,IF($K$14="650-675",'Data Tables'!AE43,IF($K$14="675-700",'Data Tables'!AE44,IF($K$14="700-750",'Data Tables'!AE45,IF($K$14="750-800",'Data Tables'!AE46,IF($K$14="800-850",'Data Tables'!AE47,'Data Tables'!AE48)))))))))</f>
        <v>0</v>
      </c>
      <c r="P23" s="278"/>
      <c r="Q23" s="279">
        <f>$K23*IF($K$14="550-575",'Data Tables'!AF39,IF($K$14="575-600",'Data Tables'!AF40,IF($K$14="600-625",'Data Tables'!AF41,IF($K$14="625-650",'Data Tables'!AF42,IF($K$14="650-675",'Data Tables'!AF43,IF($K$14="675-700",'Data Tables'!AF44,IF($K$14="700-750",'Data Tables'!AF45,IF($K$14="750-800",'Data Tables'!AF46,IF($K$14="800-850",'Data Tables'!AF47,'Data Tables'!AF48)))))))))</f>
        <v>0</v>
      </c>
      <c r="R23" s="280"/>
      <c r="S23" s="49" t="s">
        <v>324</v>
      </c>
      <c r="T23" s="6"/>
      <c r="W23" s="73"/>
      <c r="X23" s="73"/>
      <c r="Y23" s="73"/>
      <c r="Z23" s="73"/>
      <c r="AA23" s="73"/>
      <c r="AB23" s="73"/>
      <c r="AC23" s="439"/>
      <c r="AD23" s="439"/>
      <c r="AE23" s="439"/>
      <c r="AF23" s="439"/>
      <c r="AG23" s="439"/>
      <c r="AH23" s="439"/>
    </row>
    <row r="24" spans="2:34" ht="14.7" customHeight="1">
      <c r="B24" s="4"/>
      <c r="C24" s="42"/>
      <c r="D24" s="222"/>
      <c r="E24" s="49"/>
      <c r="F24" s="138" t="str">
        <f>'Data Tables'!AG37</f>
        <v>Low density residential</v>
      </c>
      <c r="G24" s="138"/>
      <c r="H24" s="138"/>
      <c r="I24" s="138"/>
      <c r="J24" s="138"/>
      <c r="K24" s="276"/>
      <c r="L24" s="235" t="s">
        <v>323</v>
      </c>
      <c r="M24" s="49"/>
      <c r="N24" s="49"/>
      <c r="O24" s="277">
        <f>$K24*IF($K$14="550-575",'Data Tables'!AG39,IF($K$14="575-600",'Data Tables'!AG40,IF($K$14="600-625",'Data Tables'!AG41,IF($K$14="625-650",'Data Tables'!AG42,IF($K$14="650-675",'Data Tables'!AG43,IF($K$14="675-700",'Data Tables'!AG44,IF($K$14="700-750",'Data Tables'!AG45,IF($K$14="750-800",'Data Tables'!AG46,IF($K$14="800-850",'Data Tables'!AG47,'Data Tables'!AG48)))))))))</f>
        <v>0</v>
      </c>
      <c r="P24" s="278"/>
      <c r="Q24" s="279">
        <f>$K24*IF($K$14="550-575",'Data Tables'!AH39,IF($K$14="575-600",'Data Tables'!AH40,IF($K$14="600-625",'Data Tables'!AH41,IF($K$14="625-650",'Data Tables'!AH42,IF($K$14="650-675",'Data Tables'!AH43,IF($K$14="675-700",'Data Tables'!AH44,IF($K$14="700-750",'Data Tables'!AH45,IF($K$14="750-800",'Data Tables'!AH46,IF($K$14="800-850",'Data Tables'!AH47,'Data Tables'!AH48)))))))))</f>
        <v>0</v>
      </c>
      <c r="R24" s="280"/>
      <c r="S24" s="49" t="s">
        <v>324</v>
      </c>
      <c r="T24" s="6"/>
      <c r="W24" s="13"/>
      <c r="X24" s="13"/>
      <c r="Y24" s="13"/>
      <c r="Z24" s="13"/>
      <c r="AA24" s="13"/>
      <c r="AB24" s="13"/>
      <c r="AC24" s="13"/>
      <c r="AD24" s="13"/>
      <c r="AE24" s="13"/>
      <c r="AF24" s="13"/>
      <c r="AG24" s="13"/>
      <c r="AH24" s="13"/>
    </row>
    <row r="25" spans="2:34" ht="14.7" customHeight="1">
      <c r="B25" s="4"/>
      <c r="C25" s="42"/>
      <c r="D25" s="222"/>
      <c r="E25" s="49"/>
      <c r="F25" s="138" t="str">
        <f>'Data Tables'!AI37</f>
        <v>Commercial / Industrial</v>
      </c>
      <c r="G25" s="138"/>
      <c r="H25" s="138"/>
      <c r="I25" s="138"/>
      <c r="J25" s="138"/>
      <c r="K25" s="276"/>
      <c r="L25" s="235" t="s">
        <v>323</v>
      </c>
      <c r="M25" s="49"/>
      <c r="N25" s="49"/>
      <c r="O25" s="277">
        <f>$K25*IF($K$14="550-575",'Data Tables'!AI39,IF($K$14="575-600",'Data Tables'!AI40,IF($K$14="600-625",'Data Tables'!AI41,IF($K$14="625-650",'Data Tables'!AI42,IF($K$14="650-675",'Data Tables'!AI43,IF($K$14="675-700",'Data Tables'!AI44,IF($K$14="700-750",'Data Tables'!AI45,IF($K$14="750-800",'Data Tables'!AI46,IF($K$14="800-850",'Data Tables'!AI47,'Data Tables'!AI48)))))))))</f>
        <v>0</v>
      </c>
      <c r="P25" s="278"/>
      <c r="Q25" s="279">
        <f>$K25*IF($K$14="550-575",'Data Tables'!AJ39,IF($K$14="575-600",'Data Tables'!AJ40,IF($K$14="600-625",'Data Tables'!AJ41,IF($K$14="625-650",'Data Tables'!AJ42,IF($K$14="650-675",'Data Tables'!AJ43,IF($K$14="675-700",'Data Tables'!AJ44,IF($K$14="700-750",'Data Tables'!AJ45,IF($K$14="750-800",'Data Tables'!AJ46,IF($K$14="800-850",'Data Tables'!AJ47,'Data Tables'!AJ48)))))))))</f>
        <v>0</v>
      </c>
      <c r="R25" s="280"/>
      <c r="S25" s="49" t="s">
        <v>324</v>
      </c>
      <c r="T25" s="6"/>
      <c r="W25" s="13"/>
      <c r="X25" s="13"/>
      <c r="Y25" s="13"/>
      <c r="Z25" s="13"/>
      <c r="AA25" s="13"/>
      <c r="AB25" s="13"/>
      <c r="AC25" s="13"/>
      <c r="AD25" s="13"/>
      <c r="AE25" s="13"/>
      <c r="AF25" s="13"/>
      <c r="AG25" s="13"/>
      <c r="AH25" s="13"/>
    </row>
    <row r="26" spans="2:34" ht="14.7" customHeight="1">
      <c r="B26" s="4"/>
      <c r="C26" s="42"/>
      <c r="D26" s="222"/>
      <c r="E26" s="49"/>
      <c r="F26" s="138" t="str">
        <f>'Data Tables'!AK37</f>
        <v>Urban open space</v>
      </c>
      <c r="G26" s="138"/>
      <c r="H26" s="138"/>
      <c r="I26" s="138"/>
      <c r="J26" s="138"/>
      <c r="K26" s="276"/>
      <c r="L26" s="235" t="s">
        <v>323</v>
      </c>
      <c r="M26" s="49"/>
      <c r="N26" s="49"/>
      <c r="O26" s="277">
        <f>$K26*IF($K$14="550-575",'Data Tables'!AK39,IF($K$14="575-600",'Data Tables'!AK40,IF($K$14="600-625",'Data Tables'!AK41,IF($K$14="625-650",'Data Tables'!AK42,IF($K$14="650-675",'Data Tables'!AK43,IF($K$14="675-700",'Data Tables'!AK44,IF($K$14="700-750",'Data Tables'!AK45,IF($K$14="750-800",'Data Tables'!AK46,IF($K$14="800-850",'Data Tables'!AK47,'Data Tables'!AK48)))))))))</f>
        <v>0</v>
      </c>
      <c r="P26" s="278"/>
      <c r="Q26" s="279">
        <f>$K26*IF($K$14="550-575",'Data Tables'!AL39,IF($K$14="575-600",'Data Tables'!AL40,IF($K$14="600-625",'Data Tables'!AL41,IF($K$14="625-650",'Data Tables'!AL42,IF($K$14="650-675",'Data Tables'!AL43,IF($K$14="675-700",'Data Tables'!AL44,IF($K$14="700-750",'Data Tables'!AL45,IF($K$14="750-800",'Data Tables'!AL46,IF($K$14="800-850",'Data Tables'!AL47,'Data Tables'!AL48)))))))))</f>
        <v>0</v>
      </c>
      <c r="R26" s="280"/>
      <c r="S26" s="49" t="s">
        <v>324</v>
      </c>
      <c r="T26" s="6"/>
      <c r="W26" s="13"/>
      <c r="X26" s="13"/>
      <c r="Y26" s="13"/>
      <c r="Z26" s="13"/>
      <c r="AA26" s="13"/>
      <c r="AB26" s="13"/>
      <c r="AC26" s="13"/>
      <c r="AD26" s="13"/>
      <c r="AE26" s="13"/>
      <c r="AF26" s="13"/>
      <c r="AG26" s="13"/>
      <c r="AH26" s="13"/>
    </row>
    <row r="27" spans="2:55" ht="14.7" customHeight="1">
      <c r="B27" s="4"/>
      <c r="C27" s="42"/>
      <c r="D27" s="222"/>
      <c r="E27" s="49"/>
      <c r="F27" s="138" t="s">
        <v>55</v>
      </c>
      <c r="G27" s="138"/>
      <c r="H27" s="138"/>
      <c r="I27" s="138"/>
      <c r="J27" s="138"/>
      <c r="K27" s="276"/>
      <c r="L27" s="235" t="s">
        <v>323</v>
      </c>
      <c r="M27" s="49"/>
      <c r="N27" s="49"/>
      <c r="O27" s="281">
        <f>IF($K$12="Wensum",($K27*(IF($K$13="Freely draining",IF($K$14="550-575",IF($K$15="Yes",'Data Tables'!S5,'Data Tables'!T5),IF($K$14="575-600",IF($K$15="Yes",'Data Tables'!S5,'Data Tables'!T5),IF($K$14="600-625",IF($K$15="Yes",'Data Tables'!Y5,'Data Tables'!Z5),IF($K$14="625-650",IF($K$15="Yes",'Data Tables'!Y5,'Data Tables'!Z5),IF($K$14="650-675",IF($K$15="Yes",'Data Tables'!Y5,'Data Tables'!Z5),IF($K$14="675-700",IF($K$15="Yes",'Data Tables'!Y5,'Data Tables'!Z5),IF($K$14="700-750",IF($K$15="Yes",'Data Tables'!AE5,'Data Tables'!AF5),IF($K$14="750-800",IF($K$15="Yes",'Data Tables'!AE5,'Data Tables'!AF5),IF($K$14="800-850",IF($K$15="Yes",'Data Tables'!AE5,'Data Tables'!AF5),IF($K$15="Yes",'Data Tables'!Y5,'Data Tables'!Z5)))))))))),IF($K$13="Impermeable - drained for arable",IF($K$14="550-575",IF($K$15="Yes",'Data Tables'!U5,'Data Tables'!V5),IF($K$14="575-600",IF($K$15="Yes",'Data Tables'!U5,'Data Tables'!V5),IF($K$14="600-625",IF($K$15="Yes",'Data Tables'!AA5,'Data Tables'!AB5),IF($K$14="625-650",IF($K$15="Yes",'Data Tables'!AA5,'Data Tables'!AB5),IF($K$14="650-675",IF($K$15="Yes",'Data Tables'!AA5,'Data Tables'!AB5),IF($K$14="675-700",IF($K$15="Yes",'Data Tables'!AA5,'Data Tables'!AB5),IF($K$14="700-750",IF($K$15="Yes",'Data Tables'!AG5,'Data Tables'!AH5),IF($K$14="750-800",IF($K$15="Yes",'Data Tables'!AG5,'Data Tables'!AH5),IF($K$14="800-850",IF($K$15="Yes",'Data Tables'!AG5,'Data Tables'!AH5),IF($K$15="Yes",'Data Tables'!AG5,'Data Tables'!AH5)))))))))),IF($K$14="550-575",IF($K$15="Yes",'Data Tables'!W5,'Data Tables'!X5),IF($K$14="575-600",IF($K$15="Yes",'Data Tables'!W5,'Data Tables'!X5),IF($K$14="600-625",IF($K$15="Yes",'Data Tables'!AC5,'Data Tables'!AD5),IF($K$14="625-650",IF($K$15="Yes",'Data Tables'!AC5,'Data Tables'!AD5),IF($K$14="650-675",IF($K$15="Yes",'Data Tables'!AC5,'Data Tables'!AD5),IF($K$14="675-700",IF($K$15="Yes",'Data Tables'!AC5,'Data Tables'!AD5),IF($K$14="700-750",IF($K$15="Yes",'Data Tables'!AI5,'Data Tables'!AJ5),IF($K$14="750-800",IF($K$15="Yes",'Data Tables'!AI5,'Data Tables'!AJ5),IF($K$14="800-850",IF($K$15="Yes",'Data Tables'!AI5,'Data Tables'!AJ5),IF($K$15="Yes",'Data Tables'!AI5,'Data Tables'!AJ5)))))))))))))),IF($K$12="Yare",($K27*(IF($K$13="Freely draining",IF($K$14="550-575",IF($K$15="Yes",'Data Tables'!S16,'Data Tables'!T16),IF($K$14="575-600",IF($K$15="Yes",'Data Tables'!S16,'Data Tables'!T16),IF($K$14="600-625",IF($K$15="Yes",'Data Tables'!Y16,'Data Tables'!Z16),IF($K$14="625-650",IF($K$15="Yes",'Data Tables'!Y16,'Data Tables'!Z16),IF($K$14="650-675",IF($K$15="Yes",'Data Tables'!Y16,'Data Tables'!Z16),IF($K$14="675-700",IF($K$15="Yes",'Data Tables'!Y16,'Data Tables'!Z16),IF($K$14="700-750",IF($K$15="Yes",'Data Tables'!AE16,'Data Tables'!AF16),IF($K$14="750-800",IF($K$15="Yes",'Data Tables'!AE16,'Data Tables'!AF16),IF($K$14="800-850",IF($K$15="Yes",'Data Tables'!AE16,'Data Tables'!AF16),IF($K$15="Yes",'Data Tables'!AE16,'Data Tables'!AF16)))))))))),IF($K$13="Impermeable - drained for arable",IF($K$14="550-575",IF($K$15="Yes",'Data Tables'!U16,'Data Tables'!V16),IF($K$14="575-600",IF($K$15="Yes",'Data Tables'!U16,'Data Tables'!V16),IF($K$14="600-625",IF($K$15="Yes",'Data Tables'!AA16,'Data Tables'!AB16),IF($K$14="625-650",IF($K$15="Yes",'Data Tables'!AA16,'Data Tables'!AB16),IF($K$14="650-675",IF($K$15="Yes",'Data Tables'!AA16,'Data Tables'!AB16),IF($K$14="675-700",IF($K$15="Yes",'Data Tables'!AA16,'Data Tables'!AB16),IF($K$14="700-750",IF($K$15="Yes",'Data Tables'!AG16,'Data Tables'!AH16),IF($K$14="750-800",IF($K$15="Yes",'Data Tables'!AG16,'Data Tables'!AH16),IF($K$14="800-850",IF($K$15="Yes",'Data Tables'!AG16,'Data Tables'!AH16),IF($K$15="Yes",'Data Tables'!AG16,'Data Tables'!AH16)))))))))),IF($K$14="550-575",IF($K$15="Yes",'Data Tables'!W16,'Data Tables'!X16),IF($K$14="575-600",IF($K$15="Yes",'Data Tables'!W16,'Data Tables'!X16),IF($K$14="600-625",IF($K$15="Yes",'Data Tables'!AC16,'Data Tables'!AD16),IF($K$14="625-650",IF($K$15="Yes",'Data Tables'!AC16,'Data Tables'!AD16),IF($K$14="650-675",IF($K$15="Yes",'Data Tables'!AC16,'Data Tables'!AD16),IF($K$14="675-700",IF($K$15="Yes",'Data Tables'!AC16,'Data Tables'!AD16),IF($K$14="700-750",IF($K$15="Yes",'Data Tables'!AI16,'Data Tables'!AJ16),IF($K$14="750-800",IF($K$15="Yes",'Data Tables'!AI16,'Data Tables'!AJ16),IF($K$14="800-850",IF($K$15="Yes",'Data Tables'!AI16,'Data Tables'!AJ16),IF($K$15="Yes",'Data Tables'!AI16,'Data Tables'!AJ16)))))))))))))),($K27*(IF($K$13="Freely draining",IF($K$14="550-575",IF($K$15="Yes",'Data Tables'!S27,'Data Tables'!T27),IF($K$14="575-600",IF($K$15="Yes",'Data Tables'!S27,'Data Tables'!T27),IF($K$14="600-625",IF($K$15="Yes",'Data Tables'!Y27,'Data Tables'!Z27),IF($K$14="625-650",IF($K$15="Yes",'Data Tables'!Y27,'Data Tables'!Z27),IF($K$14="650-675",IF($K$15="Yes",'Data Tables'!Y27,'Data Tables'!Z27),IF($K$14="675-700",IF($K$15="Yes",'Data Tables'!Y27,'Data Tables'!Z27),IF($K$14="700-750",IF($K$15="Yes",'Data Tables'!AE27,'Data Tables'!AF27),IF($K$14="750-800",IF($K$15="Yes",'Data Tables'!AE27,'Data Tables'!AF27),IF($K$14="800-850",IF($K$15="Yes",'Data Tables'!AE27,'Data Tables'!AF27),IF($K$15="Yes",'Data Tables'!AE27,'Data Tables'!AF27)))))))))),IF($K$13="Impermeable - drained for arable",IF($K$14="550-575",IF($K$15="Yes",'Data Tables'!U27,'Data Tables'!V27),IF($K$14="575-600",IF($K$15="Yes",'Data Tables'!U27,'Data Tables'!V27),IF($K$14="600-625",IF($K$15="Yes",'Data Tables'!AA27,'Data Tables'!AB27),IF($K$14="625-650",IF($K$15="Yes",'Data Tables'!AA27,'Data Tables'!AB27),IF($K$14="650-675",IF($K$15="Yes",'Data Tables'!AA27,'Data Tables'!AB27),IF($K$14="675-700",IF($K$15="Yes",'Data Tables'!AA27,'Data Tables'!AB27),IF($K$14="700-750",IF($K$15="Yes",'Data Tables'!AG27,'Data Tables'!AH27),IF($K$14="750-800",IF($K$15="Yes",'Data Tables'!AG27,'Data Tables'!AH27),IF($K$14="800-850",IF($K$15="Yes",'Data Tables'!AG27,'Data Tables'!AH27),IF($K$15="Yes",'Data Tables'!AG27,'Data Tables'!AH27)))))))))),IF($K$14="550-575",IF($K$15="Yes",'Data Tables'!W27,'Data Tables'!X27),IF($K$14="575-600",IF($K$15="Yes",'Data Tables'!W27,'Data Tables'!X27),IF($K$14="600-625",IF($K$15="Yes",'Data Tables'!AC27,'Data Tables'!AD27),IF($K$14="625-650",IF($K$15="Yes",'Data Tables'!AC27,'Data Tables'!AD27),IF($K$14="650-675",IF($K$15="Yes",'Data Tables'!AC27,'Data Tables'!AD27),IF($K$14="675-700",IF($K$15="Yes",'Data Tables'!AC27,'Data Tables'!AD27),IF($K$14="700-750",IF($K$15="Yes",'Data Tables'!AI27,'Data Tables'!AJ27),IF($K$14="750-800",IF($K$15="Yes",'Data Tables'!AI27,'Data Tables'!AJ27),IF($K$14="800-850",IF($K$15="Yes",'Data Tables'!AI27,'Data Tables'!AJ27),IF($K$15="Yes",'Data Tables'!AI27,'Data Tables'!AJ27))))))))))))))))</f>
        <v>0</v>
      </c>
      <c r="P27" s="278"/>
      <c r="Q27" s="281">
        <f>IF($K$12="Wensum",($K27*(IF($K$13="Freely draining",IF($K$14="550-575",IF($K$15="Yes",'Data Tables'!AM5,'Data Tables'!AN5),IF($K$14="575-600",IF($K$15="Yes",'Data Tables'!AM5,'Data Tables'!AN5),IF($K$14="600-625",IF($K$15="Yes",'Data Tables'!AS5,'Data Tables'!AT5),IF($K$14="625-650",IF($K$15="Yes",'Data Tables'!AS5,'Data Tables'!AT5),IF($K$14="650-675",IF($K$15="Yes",'Data Tables'!AS5,'Data Tables'!AT5),IF($K$14="675-700",IF($K$15="Yes",'Data Tables'!AS5,'Data Tables'!AT5),IF($K$14="700-750",IF($K$15="Yes",'Data Tables'!AY5,'Data Tables'!AZ5),IF($K$14="750-800",IF($K$15="Yes",'Data Tables'!AY5,'Data Tables'!AZ5),IF($K$14="800-850",IF($K$15="Yes",'Data Tables'!AY5,'Data Tables'!AZ5),IF($K$15="Yes",'Data Tables'!AS5,'Data Tables'!AT5)))))))))),IF($K$13="Impermeable - drained for arable",IF($K$14="550-575",IF($K$15="Yes",'Data Tables'!AO5,'Data Tables'!AP5),IF($K$14="575-600",IF($K$15="Yes",'Data Tables'!AO5,'Data Tables'!AP5),IF($K$14="600-625",IF($K$15="Yes",'Data Tables'!AU5,'Data Tables'!AV5),IF($K$14="625-650",IF($K$15="Yes",'Data Tables'!AU5,'Data Tables'!AV5),IF($K$14="650-675",IF($K$15="Yes",'Data Tables'!AU5,'Data Tables'!AV5),IF($K$14="675-700",IF($K$15="Yes",'Data Tables'!AU5,'Data Tables'!AV5),IF($K$14="700-750",IF($K$15="Yes",'Data Tables'!BA5,'Data Tables'!BB5),IF($K$14="750-800",IF($K$15="Yes",'Data Tables'!BA5,'Data Tables'!BB5),IF($K$14="800-850",IF($K$15="Yes",'Data Tables'!BA5,'Data Tables'!BB5),IF($K$15="Yes",'Data Tables'!BA5,'Data Tables'!BB5)))))))))),IF($K$14="550-575",IF($K$15="Yes",'Data Tables'!AQ5,'Data Tables'!AR5),IF($K$14="575-600",IF($K$15="Yes",'Data Tables'!AQ5,'Data Tables'!AR5),IF($K$14="600-625",IF($K$15="Yes",'Data Tables'!AW5,'Data Tables'!AX5),IF($K$14="625-650",IF($K$15="Yes",'Data Tables'!AW5,'Data Tables'!AX5),IF($K$14="650-675",IF($K$15="Yes",'Data Tables'!AW5,'Data Tables'!AX5),IF($K$14="675-700",IF($K$15="Yes",'Data Tables'!AW5,'Data Tables'!AX5),IF($K$14="700-750",IF($K$15="Yes",'Data Tables'!BC5,'Data Tables'!BD5),IF($K$14="750-800",IF($K$15="Yes",'Data Tables'!BC5,'Data Tables'!BD5),IF($K$14="800-850",IF($K$15="Yes",'Data Tables'!BC5,'Data Tables'!BD5),IF($K$15="Yes",'Data Tables'!BC5,'Data Tables'!BD5)))))))))))))),IF($K$12="Yare",($K27*(IF($K$13="Freely draining",IF($K$14="550-575",IF($K$15="Yes",'Data Tables'!AM16,'Data Tables'!AN16),IF($K$14="575-600",IF($K$15="Yes",'Data Tables'!AM16,'Data Tables'!AN16),IF($K$14="600-625",IF($K$15="Yes",'Data Tables'!AS16,'Data Tables'!AT16),IF($K$14="625-650",IF($K$15="Yes",'Data Tables'!AS16,'Data Tables'!AT16),IF($K$14="650-675",IF($K$15="Yes",'Data Tables'!AS16,'Data Tables'!AT16),IF($K$14="675-700",IF($K$15="Yes",'Data Tables'!AS16,'Data Tables'!AT16),IF($K$14="700-750",IF($K$15="Yes",'Data Tables'!AY16,'Data Tables'!AZ16),IF($K$14="750-800",IF($K$15="Yes",'Data Tables'!AY16,'Data Tables'!AZ16),IF($K$14="800-850",IF($K$15="Yes",'Data Tables'!AY16,'Data Tables'!AZ16),IF($K$15="Yes",'Data Tables'!AY16,'Data Tables'!AZ16)))))))))),IF($K$13="Impermeable - drained for arable",IF($K$14="550-575",IF($K$15="Yes",'Data Tables'!AO16,'Data Tables'!AP16),IF($K$14="575-600",IF($K$15="Yes",'Data Tables'!AO16,'Data Tables'!AP16),IF($K$14="600-625",IF($K$15="Yes",'Data Tables'!AU16,'Data Tables'!AV16),IF($K$14="625-650",IF($K$15="Yes",'Data Tables'!AU16,'Data Tables'!AV16),IF($K$14="650-675",IF($K$15="Yes",'Data Tables'!AU16,'Data Tables'!AV16),IF($K$14="675-700",IF($K$15="Yes",'Data Tables'!AU16,'Data Tables'!AV16),IF($K$14="700-750",IF($K$15="Yes",'Data Tables'!BA16,'Data Tables'!BB16),IF($K$14="750-800",IF($K$15="Yes",'Data Tables'!BA16,'Data Tables'!BB16),IF($K$14="800-850",IF($K$15="Yes",'Data Tables'!BA16,'Data Tables'!BB16),IF($K$15="Yes",'Data Tables'!BA16,'Data Tables'!BB16)))))))))),IF($K$14="550-575",IF($K$15="Yes",'Data Tables'!AQ16,'Data Tables'!AR16),IF($K$14="575-600",IF($K$15="Yes",'Data Tables'!AQ16,'Data Tables'!AR16),IF($K$14="600-625",IF($K$15="Yes",'Data Tables'!AW16,'Data Tables'!AX16),IF($K$14="625-650",IF($K$15="Yes",'Data Tables'!AW16,'Data Tables'!AX16),IF($K$14="650-675",IF($K$15="Yes",'Data Tables'!AW16,'Data Tables'!AX16),IF($K$14="675-700",IF($K$15="Yes",'Data Tables'!AW16,'Data Tables'!AX16),IF($K$14="700-750",IF($K$15="Yes",'Data Tables'!BC16,'Data Tables'!BD16),IF($K$14="750-800",IF($K$15="Yes",'Data Tables'!BC16,'Data Tables'!BD16),IF($K$14="800-850",IF($K$15="Yes",'Data Tables'!BC16,'Data Tables'!BD16),IF($K$15="Yes",'Data Tables'!BC16,'Data Tables'!BD16)))))))))))))),($K27*(IF($K$13="Freely draining",IF($K$14="550-575",IF($K$15="Yes",'Data Tables'!AM27,'Data Tables'!AN27),IF($K$14="575-600",IF($K$15="Yes",'Data Tables'!AM27,'Data Tables'!AN27),IF($K$14="600-625",IF($K$15="Yes",'Data Tables'!AS27,'Data Tables'!AT27),IF($K$14="625-650",IF($K$15="Yes",'Data Tables'!AS27,'Data Tables'!AT27),IF($K$14="650-675",IF($K$15="Yes",'Data Tables'!AS27,'Data Tables'!AT27),IF($K$14="675-700",IF($K$15="Yes",'Data Tables'!AS27,'Data Tables'!AT27),IF($K$14="700-750",IF($K$15="Yes",'Data Tables'!AY27,'Data Tables'!AZ27),IF($K$14="750-800",IF($K$15="Yes",'Data Tables'!AY27,'Data Tables'!AZ27),IF($K$14="800-850",IF($K$15="Yes",'Data Tables'!AY27,'Data Tables'!AZ27),IF($K$15="Yes",'Data Tables'!AY27,'Data Tables'!AZ27)))))))))),IF($K$13="Impermeable - drained for arable",IF($K$14="550-575",IF($K$15="Yes",'Data Tables'!AO27,'Data Tables'!AP27),IF($K$14="575-600",IF($K$15="Yes",'Data Tables'!AO27,'Data Tables'!AP27),IF($K$14="600-625",IF($K$15="Yes",'Data Tables'!AU27,'Data Tables'!AV27),IF($K$14="625-650",IF($K$15="Yes",'Data Tables'!AU27,'Data Tables'!AV27),IF($K$14="650-675",IF($K$15="Yes",'Data Tables'!AU27,'Data Tables'!AV27),IF($K$14="675-700",IF($K$15="Yes",'Data Tables'!AU27,'Data Tables'!AV27),IF($K$14="700-750",IF($K$15="Yes",'Data Tables'!BA27,'Data Tables'!BB27),IF($K$14="750-800",IF($K$15="Yes",'Data Tables'!BA27,'Data Tables'!BB27),IF($K$14="800-850",IF($K$15="Yes",'Data Tables'!BA27,'Data Tables'!BB27),IF($K$15="Yes",'Data Tables'!BA27,'Data Tables'!BB27)))))))))),IF($K$14="550-575",IF($K$15="Yes",'Data Tables'!AQ27,'Data Tables'!AR27),IF($K$14="575-600",IF($K$15="Yes",'Data Tables'!AQ27,'Data Tables'!AR27),IF($K$14="600-625",IF($K$15="Yes",'Data Tables'!AW27,'Data Tables'!AX27),IF($K$14="625-650",IF($K$15="Yes",'Data Tables'!AW27,'Data Tables'!AX27),IF($K$14="650-675",IF($K$15="Yes",'Data Tables'!AW27,'Data Tables'!AX27),IF($K$14="675-700",IF($K$15="Yes",'Data Tables'!AW27,'Data Tables'!AX27),IF($K$14="700-750",IF($K$15="Yes",'Data Tables'!BC27,'Data Tables'!BD27),IF($K$14="750-800",IF($K$15="Yes",'Data Tables'!BC27,'Data Tables'!BD27),IF($K$14="800-850",IF($K$15="Yes",'Data Tables'!BC27,'Data Tables'!BD27),IF($K$15="Yes",'Data Tables'!BC27,'Data Tables'!BD27))))))))))))))))</f>
        <v>0</v>
      </c>
      <c r="R27" s="282"/>
      <c r="S27" s="49" t="s">
        <v>324</v>
      </c>
      <c r="T27" s="6"/>
      <c r="W27" s="110"/>
      <c r="X27" s="110"/>
      <c r="Y27" s="110"/>
      <c r="Z27" s="110"/>
      <c r="AA27" s="110"/>
      <c r="AB27" s="110"/>
      <c r="AC27" s="110"/>
      <c r="AD27" s="110"/>
      <c r="AE27" s="110"/>
      <c r="AF27" s="110"/>
      <c r="AG27" s="110"/>
      <c r="AH27" s="110"/>
      <c r="AI27" s="110"/>
      <c r="AJ27" s="110"/>
      <c r="AK27" s="110"/>
      <c r="AL27" s="110"/>
      <c r="AM27" s="110"/>
      <c r="AN27" s="110"/>
      <c r="AO27" s="110"/>
      <c r="AQ27" s="110"/>
      <c r="AR27" s="110"/>
      <c r="AS27" s="110"/>
      <c r="AT27" s="110"/>
      <c r="AU27" s="110"/>
      <c r="AV27" s="110"/>
      <c r="AW27" s="110"/>
      <c r="AX27" s="110"/>
      <c r="AY27" s="110"/>
      <c r="AZ27" s="110"/>
      <c r="BA27" s="110"/>
      <c r="BB27" s="110"/>
      <c r="BC27" s="110"/>
    </row>
    <row r="28" spans="2:55" ht="14.7" customHeight="1">
      <c r="B28" s="4"/>
      <c r="C28" s="42"/>
      <c r="D28" s="222"/>
      <c r="E28" s="49"/>
      <c r="F28" s="435" t="s">
        <v>65</v>
      </c>
      <c r="G28" s="435"/>
      <c r="H28" s="435"/>
      <c r="I28" s="435"/>
      <c r="J28" s="435"/>
      <c r="K28" s="276"/>
      <c r="L28" s="235" t="s">
        <v>323</v>
      </c>
      <c r="M28" s="49"/>
      <c r="N28" s="49"/>
      <c r="O28" s="281">
        <f>IF($K$12="Wensum",($K28*(IF($K$13="Freely draining",IF($K$14="550-575",IF($K$15="Yes",'Data Tables'!S6,'Data Tables'!T6),IF($K$14="575-600",IF($K$15="Yes",'Data Tables'!S6,'Data Tables'!T6),IF($K$14="600-625",IF($K$15="Yes",'Data Tables'!Y6,'Data Tables'!Z6),IF($K$14="625-650",IF($K$15="Yes",'Data Tables'!Y6,'Data Tables'!Z6),IF($K$14="650-675",IF($K$15="Yes",'Data Tables'!Y6,'Data Tables'!Z6),IF($K$14="675-700",IF($K$15="Yes",'Data Tables'!Y6,'Data Tables'!Z6),IF($K$14="700-750",IF($K$15="Yes",'Data Tables'!AE6,'Data Tables'!AF6),IF($K$14="750-800",IF($K$15="Yes",'Data Tables'!AE6,'Data Tables'!AF6),IF($K$14="800-850",IF($K$15="Yes",'Data Tables'!AE6,'Data Tables'!AF6),IF($K$15="Yes",'Data Tables'!Y6,'Data Tables'!Z6)))))))))),IF($K$13="Impermeable - drained for arable",IF($K$14="550-575",IF($K$15="Yes",'Data Tables'!U6,'Data Tables'!V6),IF($K$14="575-600",IF($K$15="Yes",'Data Tables'!U6,'Data Tables'!V6),IF($K$14="600-625",IF($K$15="Yes",'Data Tables'!AA6,'Data Tables'!AB6),IF($K$14="625-650",IF($K$15="Yes",'Data Tables'!AA6,'Data Tables'!AB6),IF($K$14="650-675",IF($K$15="Yes",'Data Tables'!AA6,'Data Tables'!AB6),IF($K$14="675-700",IF($K$15="Yes",'Data Tables'!AA6,'Data Tables'!AB6),IF($K$14="700-750",IF($K$15="Yes",'Data Tables'!AG6,'Data Tables'!AH6),IF($K$14="750-800",IF($K$15="Yes",'Data Tables'!AG6,'Data Tables'!AH6),IF($K$14="800-850",IF($K$15="Yes",'Data Tables'!AG6,'Data Tables'!AH6),IF($K$15="Yes",'Data Tables'!AG6,'Data Tables'!AH6)))))))))),IF($K$14="550-575",IF($K$15="Yes",'Data Tables'!W6,'Data Tables'!X6),IF($K$14="575-600",IF($K$15="Yes",'Data Tables'!W6,'Data Tables'!X6),IF($K$14="600-625",IF($K$15="Yes",'Data Tables'!AC6,'Data Tables'!AD6),IF($K$14="625-650",IF($K$15="Yes",'Data Tables'!AC6,'Data Tables'!AD6),IF($K$14="650-675",IF($K$15="Yes",'Data Tables'!AC6,'Data Tables'!AD6),IF($K$14="675-700",IF($K$15="Yes",'Data Tables'!AC6,'Data Tables'!AD6),IF($K$14="700-750",IF($K$15="Yes",'Data Tables'!AI6,'Data Tables'!AJ6),IF($K$14="750-800",IF($K$15="Yes",'Data Tables'!AI6,'Data Tables'!AJ6),IF($K$14="800-850",IF($K$15="Yes",'Data Tables'!AI6,'Data Tables'!AJ6),IF($K$15="Yes",'Data Tables'!AI6,'Data Tables'!AJ6)))))))))))))),IF($K$12="Yare",($K28*(IF($K$13="Freely draining",IF($K$14="550-575",IF($K$15="Yes",'Data Tables'!S17,'Data Tables'!T17),IF($K$14="575-600",IF($K$15="Yes",'Data Tables'!S17,'Data Tables'!T17),IF($K$14="600-625",IF($K$15="Yes",'Data Tables'!Y17,'Data Tables'!Z17),IF($K$14="625-650",IF($K$15="Yes",'Data Tables'!Y17,'Data Tables'!Z17),IF($K$14="650-675",IF($K$15="Yes",'Data Tables'!Y17,'Data Tables'!Z17),IF($K$14="675-700",IF($K$15="Yes",'Data Tables'!Y17,'Data Tables'!Z17),IF($K$14="700-750",IF($K$15="Yes",'Data Tables'!AE17,'Data Tables'!AF17),IF($K$14="750-800",IF($K$15="Yes",'Data Tables'!AE17,'Data Tables'!AF17),IF($K$14="800-850",IF($K$15="Yes",'Data Tables'!AE17,'Data Tables'!AF17),IF($K$15="Yes",'Data Tables'!AE17,'Data Tables'!AF17)))))))))),IF($K$13="Impermeable - drained for arable",IF($K$14="550-575",IF($K$15="Yes",'Data Tables'!U17,'Data Tables'!V17),IF($K$14="575-600",IF($K$15="Yes",'Data Tables'!U17,'Data Tables'!V17),IF($K$14="600-625",IF($K$15="Yes",'Data Tables'!AA17,'Data Tables'!AB17),IF($K$14="625-650",IF($K$15="Yes",'Data Tables'!AA17,'Data Tables'!AB17),IF($K$14="650-675",IF($K$15="Yes",'Data Tables'!AA17,'Data Tables'!AB17),IF($K$14="675-700",IF($K$15="Yes",'Data Tables'!AA17,'Data Tables'!AB17),IF($K$14="700-750",IF($K$15="Yes",'Data Tables'!AG17,'Data Tables'!AH17),IF($K$14="750-800",IF($K$15="Yes",'Data Tables'!AG17,'Data Tables'!AH17),IF($K$14="800-850",IF($K$15="Yes",'Data Tables'!AG17,'Data Tables'!AH17),IF($K$15="Yes",'Data Tables'!AG17,'Data Tables'!AH17)))))))))),IF($K$14="550-575",IF($K$15="Yes",'Data Tables'!W17,'Data Tables'!X17),IF($K$14="575-600",IF($K$15="Yes",'Data Tables'!W17,'Data Tables'!X17),IF($K$14="600-625",IF($K$15="Yes",'Data Tables'!AC17,'Data Tables'!AD17),IF($K$14="625-650",IF($K$15="Yes",'Data Tables'!AC17,'Data Tables'!AD17),IF($K$14="650-675",IF($K$15="Yes",'Data Tables'!AC17,'Data Tables'!AD17),IF($K$14="675-700",IF($K$15="Yes",'Data Tables'!AC17,'Data Tables'!AD17),IF($K$14="700-750",IF($K$15="Yes",'Data Tables'!AI17,'Data Tables'!AJ17),IF($K$14="750-800",IF($K$15="Yes",'Data Tables'!AI17,'Data Tables'!AJ17),IF($K$14="800-850",IF($K$15="Yes",'Data Tables'!AI17,'Data Tables'!AJ17),IF($K$15="Yes",'Data Tables'!AI17,'Data Tables'!AJ17)))))))))))))),($K28*(IF($K$13="Freely draining",IF($K$14="550-575",IF($K$15="Yes",'Data Tables'!S28,'Data Tables'!T28),IF($K$14="575-600",IF($K$15="Yes",'Data Tables'!S28,'Data Tables'!T28),IF($K$14="600-625",IF($K$15="Yes",'Data Tables'!Y28,'Data Tables'!Z28),IF($K$14="625-650",IF($K$15="Yes",'Data Tables'!Y28,'Data Tables'!Z28),IF($K$14="650-675",IF($K$15="Yes",'Data Tables'!Y28,'Data Tables'!Z28),IF($K$14="675-700",IF($K$15="Yes",'Data Tables'!Y28,'Data Tables'!Z28),IF($K$14="700-750",IF($K$15="Yes",'Data Tables'!AE28,'Data Tables'!AF28),IF($K$14="750-800",IF($K$15="Yes",'Data Tables'!AE28,'Data Tables'!AF28),IF($K$14="800-850",IF($K$15="Yes",'Data Tables'!AE28,'Data Tables'!AF28),IF($K$15="Yes",'Data Tables'!AE28,'Data Tables'!AF28)))))))))),IF($K$13="Impermeable - drained for arable",IF($K$14="550-575",IF($K$15="Yes",'Data Tables'!U28,'Data Tables'!V28),IF($K$14="575-600",IF($K$15="Yes",'Data Tables'!U28,'Data Tables'!V28),IF($K$14="600-625",IF($K$15="Yes",'Data Tables'!AA28,'Data Tables'!AB28),IF($K$14="625-650",IF($K$15="Yes",'Data Tables'!AA28,'Data Tables'!AB28),IF($K$14="650-675",IF($K$15="Yes",'Data Tables'!AA28,'Data Tables'!AB28),IF($K$14="675-700",IF($K$15="Yes",'Data Tables'!AA28,'Data Tables'!AB28),IF($K$14="700-750",IF($K$15="Yes",'Data Tables'!AG28,'Data Tables'!AH28),IF($K$14="750-800",IF($K$15="Yes",'Data Tables'!AG28,'Data Tables'!AH28),IF($K$14="800-850",IF($K$15="Yes",'Data Tables'!AG28,'Data Tables'!AH28),IF($K$15="Yes",'Data Tables'!AG28,'Data Tables'!AH28)))))))))),IF($K$14="550-575",IF($K$15="Yes",'Data Tables'!W28,'Data Tables'!X28),IF($K$14="575-600",IF($K$15="Yes",'Data Tables'!W28,'Data Tables'!X28),IF($K$14="600-625",IF($K$15="Yes",'Data Tables'!AC28,'Data Tables'!AD28),IF($K$14="625-650",IF($K$15="Yes",'Data Tables'!AC28,'Data Tables'!AD28),IF($K$14="650-675",IF($K$15="Yes",'Data Tables'!AC28,'Data Tables'!AD28),IF($K$14="675-700",IF($K$15="Yes",'Data Tables'!AC28,'Data Tables'!AD28),IF($K$14="700-750",IF($K$15="Yes",'Data Tables'!AI28,'Data Tables'!AJ28),IF($K$14="750-800",IF($K$15="Yes",'Data Tables'!AI28,'Data Tables'!AJ28),IF($K$14="800-850",IF($K$15="Yes",'Data Tables'!AI28,'Data Tables'!AJ28),IF($K$15="Yes",'Data Tables'!AI28,'Data Tables'!AJ28))))))))))))))))</f>
        <v>0</v>
      </c>
      <c r="P28" s="278"/>
      <c r="Q28" s="281">
        <f>IF($K$12="Wensum",($K28*(IF($K$13="Freely draining",IF($K$14="550-575",IF($K$15="Yes",'Data Tables'!AM6,'Data Tables'!AN6),IF($K$14="575-600",IF($K$15="Yes",'Data Tables'!AM6,'Data Tables'!AN6),IF($K$14="600-625",IF($K$15="Yes",'Data Tables'!AS6,'Data Tables'!AT6),IF($K$14="625-650",IF($K$15="Yes",'Data Tables'!AS6,'Data Tables'!AT6),IF($K$14="650-675",IF($K$15="Yes",'Data Tables'!AS6,'Data Tables'!AT6),IF($K$14="675-700",IF($K$15="Yes",'Data Tables'!AS6,'Data Tables'!AT6),IF($K$14="700-750",IF($K$15="Yes",'Data Tables'!AY6,'Data Tables'!AZ6),IF($K$14="750-800",IF($K$15="Yes",'Data Tables'!AY6,'Data Tables'!AZ6),IF($K$14="800-850",IF($K$15="Yes",'Data Tables'!AY6,'Data Tables'!AZ6),IF($K$15="Yes",'Data Tables'!AS6,'Data Tables'!AT6)))))))))),IF($K$13="Impermeable - drained for arable",IF($K$14="550-575",IF($K$15="Yes",'Data Tables'!AO6,'Data Tables'!AP6),IF($K$14="575-600",IF($K$15="Yes",'Data Tables'!AO6,'Data Tables'!AP6),IF($K$14="600-625",IF($K$15="Yes",'Data Tables'!AU6,'Data Tables'!AV6),IF($K$14="625-650",IF($K$15="Yes",'Data Tables'!AU6,'Data Tables'!AV6),IF($K$14="650-675",IF($K$15="Yes",'Data Tables'!AU6,'Data Tables'!AV6),IF($K$14="675-700",IF($K$15="Yes",'Data Tables'!AU6,'Data Tables'!AV6),IF($K$14="700-750",IF($K$15="Yes",'Data Tables'!BA6,'Data Tables'!BB6),IF($K$14="750-800",IF($K$15="Yes",'Data Tables'!BA6,'Data Tables'!BB6),IF($K$14="800-850",IF($K$15="Yes",'Data Tables'!BA6,'Data Tables'!BB6),IF($K$15="Yes",'Data Tables'!BA6,'Data Tables'!BB6)))))))))),IF($K$14="550-575",IF($K$15="Yes",'Data Tables'!AQ6,'Data Tables'!AR6),IF($K$14="575-600",IF($K$15="Yes",'Data Tables'!AQ6,'Data Tables'!AR6),IF($K$14="600-625",IF($K$15="Yes",'Data Tables'!AW6,'Data Tables'!AX6),IF($K$14="625-650",IF($K$15="Yes",'Data Tables'!AW6,'Data Tables'!AX6),IF($K$14="650-675",IF($K$15="Yes",'Data Tables'!AW6,'Data Tables'!AX6),IF($K$14="675-700",IF($K$15="Yes",'Data Tables'!AW6,'Data Tables'!AX6),IF($K$14="700-750",IF($K$15="Yes",'Data Tables'!BC6,'Data Tables'!BD6),IF($K$14="750-800",IF($K$15="Yes",'Data Tables'!BC6,'Data Tables'!BD6),IF($K$14="800-850",IF($K$15="Yes",'Data Tables'!BC6,'Data Tables'!BD6),IF($K$15="Yes",'Data Tables'!BC6,'Data Tables'!BD6)))))))))))))),IF($K$12="Yare",($K28*(IF($K$13="Freely draining",IF($K$14="550-575",IF($K$15="Yes",'Data Tables'!AM17,'Data Tables'!AN17),IF($K$14="575-600",IF($K$15="Yes",'Data Tables'!AM17,'Data Tables'!AN17),IF($K$14="600-625",IF($K$15="Yes",'Data Tables'!AS17,'Data Tables'!AT17),IF($K$14="625-650",IF($K$15="Yes",'Data Tables'!AS17,'Data Tables'!AT17),IF($K$14="650-675",IF($K$15="Yes",'Data Tables'!AS17,'Data Tables'!AT17),IF($K$14="675-700",IF($K$15="Yes",'Data Tables'!AS17,'Data Tables'!AT17),IF($K$14="700-750",IF($K$15="Yes",'Data Tables'!AY17,'Data Tables'!AZ17),IF($K$14="750-800",IF($K$15="Yes",'Data Tables'!AY17,'Data Tables'!AZ17),IF($K$14="800-850",IF($K$15="Yes",'Data Tables'!AY17,'Data Tables'!AZ17),IF($K$15="Yes",'Data Tables'!AY17,'Data Tables'!AZ17)))))))))),IF($K$13="Impermeable - drained for arable",IF($K$14="550-575",IF($K$15="Yes",'Data Tables'!AO17,'Data Tables'!AP17),IF($K$14="575-600",IF($K$15="Yes",'Data Tables'!AO17,'Data Tables'!AP17),IF($K$14="600-625",IF($K$15="Yes",'Data Tables'!AU17,'Data Tables'!AV17),IF($K$14="625-650",IF($K$15="Yes",'Data Tables'!AU17,'Data Tables'!AV17),IF($K$14="650-675",IF($K$15="Yes",'Data Tables'!AU17,'Data Tables'!AV17),IF($K$14="675-700",IF($K$15="Yes",'Data Tables'!AU17,'Data Tables'!AV17),IF($K$14="700-750",IF($K$15="Yes",'Data Tables'!BA17,'Data Tables'!BB17),IF($K$14="750-800",IF($K$15="Yes",'Data Tables'!BA17,'Data Tables'!BB17),IF($K$14="800-850",IF($K$15="Yes",'Data Tables'!BA17,'Data Tables'!BB17),IF($K$15="Yes",'Data Tables'!BA17,'Data Tables'!BB17)))))))))),IF($K$14="550-575",IF($K$15="Yes",'Data Tables'!AQ17,'Data Tables'!AR17),IF($K$14="575-600",IF($K$15="Yes",'Data Tables'!AQ17,'Data Tables'!AR17),IF($K$14="600-625",IF($K$15="Yes",'Data Tables'!AW17,'Data Tables'!AX17),IF($K$14="625-650",IF($K$15="Yes",'Data Tables'!AW17,'Data Tables'!AX17),IF($K$14="650-675",IF($K$15="Yes",'Data Tables'!AW17,'Data Tables'!AX17),IF($K$14="675-700",IF($K$15="Yes",'Data Tables'!AW17,'Data Tables'!AX17),IF($K$14="700-750",IF($K$15="Yes",'Data Tables'!BC17,'Data Tables'!BD17),IF($K$14="750-800",IF($K$15="Yes",'Data Tables'!BC17,'Data Tables'!BD17),IF($K$14="800-850",IF($K$15="Yes",'Data Tables'!BC17,'Data Tables'!BD17),IF($K$15="Yes",'Data Tables'!BC17,'Data Tables'!BD17)))))))))))))),($K28*(IF($K$13="Freely draining",IF($K$14="550-575",IF($K$15="Yes",'Data Tables'!AM28,'Data Tables'!AN28),IF($K$14="575-600",IF($K$15="Yes",'Data Tables'!AM28,'Data Tables'!AN28),IF($K$14="600-625",IF($K$15="Yes",'Data Tables'!AS28,'Data Tables'!AT28),IF($K$14="625-650",IF($K$15="Yes",'Data Tables'!AS28,'Data Tables'!AT28),IF($K$14="650-675",IF($K$15="Yes",'Data Tables'!AS28,'Data Tables'!AT28),IF($K$14="675-700",IF($K$15="Yes",'Data Tables'!AS28,'Data Tables'!AT28),IF($K$14="700-750",IF($K$15="Yes",'Data Tables'!AY28,'Data Tables'!AZ28),IF($K$14="750-800",IF($K$15="Yes",'Data Tables'!AY28,'Data Tables'!AZ28),IF($K$14="800-850",IF($K$15="Yes",'Data Tables'!AY28,'Data Tables'!AZ28),IF($K$15="Yes",'Data Tables'!AY28,'Data Tables'!AZ28)))))))))),IF($K$13="Impermeable - drained for arable",IF($K$14="550-575",IF($K$15="Yes",'Data Tables'!AO28,'Data Tables'!AP28),IF($K$14="575-600",IF($K$15="Yes",'Data Tables'!AO28,'Data Tables'!AP28),IF($K$14="600-625",IF($K$15="Yes",'Data Tables'!AU28,'Data Tables'!AV28),IF($K$14="625-650",IF($K$15="Yes",'Data Tables'!AU28,'Data Tables'!AV28),IF($K$14="650-675",IF($K$15="Yes",'Data Tables'!AU28,'Data Tables'!AV28),IF($K$14="675-700",IF($K$15="Yes",'Data Tables'!AU28,'Data Tables'!AV28),IF($K$14="700-750",IF($K$15="Yes",'Data Tables'!BA28,'Data Tables'!BB28),IF($K$14="750-800",IF($K$15="Yes",'Data Tables'!BA28,'Data Tables'!BB28),IF($K$14="800-850",IF($K$15="Yes",'Data Tables'!BA28,'Data Tables'!BB28),IF($K$15="Yes",'Data Tables'!BA28,'Data Tables'!BB28)))))))))),IF($K$14="550-575",IF($K$15="Yes",'Data Tables'!AQ28,'Data Tables'!AR28),IF($K$14="575-600",IF($K$15="Yes",'Data Tables'!AQ28,'Data Tables'!AR28),IF($K$14="600-625",IF($K$15="Yes",'Data Tables'!AW28,'Data Tables'!AX28),IF($K$14="625-650",IF($K$15="Yes",'Data Tables'!AW28,'Data Tables'!AX28),IF($K$14="650-675",IF($K$15="Yes",'Data Tables'!AW28,'Data Tables'!AX28),IF($K$14="675-700",IF($K$15="Yes",'Data Tables'!AW28,'Data Tables'!AX28),IF($K$14="700-750",IF($K$15="Yes",'Data Tables'!BC28,'Data Tables'!BD28),IF($K$14="750-800",IF($K$15="Yes",'Data Tables'!BC28,'Data Tables'!BD28),IF($K$14="800-850",IF($K$15="Yes",'Data Tables'!BC28,'Data Tables'!BD28),IF($K$15="Yes",'Data Tables'!BC28,'Data Tables'!BD28))))))))))))))))</f>
        <v>0</v>
      </c>
      <c r="R28" s="282"/>
      <c r="S28" s="49" t="s">
        <v>324</v>
      </c>
      <c r="T28" s="6"/>
      <c r="W28" s="110"/>
      <c r="X28" s="110"/>
      <c r="Y28" s="110"/>
      <c r="Z28" s="110"/>
      <c r="AA28" s="110"/>
      <c r="AB28" s="110"/>
      <c r="AC28" s="110"/>
      <c r="AD28" s="110"/>
      <c r="AE28" s="110"/>
      <c r="AF28" s="110"/>
      <c r="AG28" s="110"/>
      <c r="AH28" s="110"/>
      <c r="AI28" s="110"/>
      <c r="AJ28" s="110"/>
      <c r="AK28" s="110"/>
      <c r="AL28" s="110"/>
      <c r="AM28" s="110"/>
      <c r="AN28" s="110"/>
      <c r="AO28" s="110"/>
      <c r="AQ28" s="110"/>
      <c r="AR28" s="110"/>
      <c r="AS28" s="110"/>
      <c r="AT28" s="110"/>
      <c r="AU28" s="110"/>
      <c r="AV28" s="110"/>
      <c r="AW28" s="110"/>
      <c r="AX28" s="110"/>
      <c r="AY28" s="110"/>
      <c r="AZ28" s="110"/>
      <c r="BA28" s="110"/>
      <c r="BB28" s="110"/>
      <c r="BC28" s="110"/>
    </row>
    <row r="29" spans="2:55" ht="14.7" customHeight="1">
      <c r="B29" s="4"/>
      <c r="C29" s="42"/>
      <c r="D29" s="222"/>
      <c r="E29" s="49"/>
      <c r="F29" s="435" t="s">
        <v>67</v>
      </c>
      <c r="G29" s="435"/>
      <c r="H29" s="435"/>
      <c r="I29" s="435"/>
      <c r="J29" s="435"/>
      <c r="K29" s="276"/>
      <c r="L29" s="235" t="s">
        <v>323</v>
      </c>
      <c r="M29" s="49"/>
      <c r="N29" s="49"/>
      <c r="O29" s="281">
        <f>IF($K$12="Wensum",($K29*(IF($K$13="Freely draining",IF($K$14="550-575",IF($K$15="Yes",'Data Tables'!S7,'Data Tables'!T7),IF($K$14="575-600",IF($K$15="Yes",'Data Tables'!S7,'Data Tables'!T7),IF($K$14="600-625",IF($K$15="Yes",'Data Tables'!Y7,'Data Tables'!Z7),IF($K$14="625-650",IF($K$15="Yes",'Data Tables'!Y7,'Data Tables'!Z7),IF($K$14="650-675",IF($K$15="Yes",'Data Tables'!Y7,'Data Tables'!Z7),IF($K$14="675-700",IF($K$15="Yes",'Data Tables'!Y7,'Data Tables'!Z7),IF($K$14="700-750",IF($K$15="Yes",'Data Tables'!AE7,'Data Tables'!AF7),IF($K$14="750-800",IF($K$15="Yes",'Data Tables'!AE7,'Data Tables'!AF7),IF($K$14="800-850",IF($K$15="Yes",'Data Tables'!AE7,'Data Tables'!AF7),IF($K$15="Yes",'Data Tables'!Y7,'Data Tables'!Z7)))))))))),IF($K$13="Impermeable - drained for arable",IF($K$14="550-575",IF($K$15="Yes",'Data Tables'!U7,'Data Tables'!V7),IF($K$14="575-600",IF($K$15="Yes",'Data Tables'!U7,'Data Tables'!V7),IF($K$14="600-625",IF($K$15="Yes",'Data Tables'!AA7,'Data Tables'!AB7),IF($K$14="625-650",IF($K$15="Yes",'Data Tables'!AA7,'Data Tables'!AB7),IF($K$14="650-675",IF($K$15="Yes",'Data Tables'!AA7,'Data Tables'!AB7),IF($K$14="675-700",IF($K$15="Yes",'Data Tables'!AA7,'Data Tables'!AB7),IF($K$14="700-750",IF($K$15="Yes",'Data Tables'!AG7,'Data Tables'!AH7),IF($K$14="750-800",IF($K$15="Yes",'Data Tables'!AG7,'Data Tables'!AH7),IF($K$14="800-850",IF($K$15="Yes",'Data Tables'!AG7,'Data Tables'!AH7),IF($K$15="Yes",'Data Tables'!AG7,'Data Tables'!AH7)))))))))),IF($K$14="550-575",IF($K$15="Yes",'Data Tables'!W7,'Data Tables'!X7),IF($K$14="575-600",IF($K$15="Yes",'Data Tables'!W7,'Data Tables'!X7),IF($K$14="600-625",IF($K$15="Yes",'Data Tables'!AC7,'Data Tables'!AD7),IF($K$14="625-650",IF($K$15="Yes",'Data Tables'!AC7,'Data Tables'!AD7),IF($K$14="650-675",IF($K$15="Yes",'Data Tables'!AC7,'Data Tables'!AD7),IF($K$14="675-700",IF($K$15="Yes",'Data Tables'!AC7,'Data Tables'!AD7),IF($K$14="700-750",IF($K$15="Yes",'Data Tables'!AI7,'Data Tables'!AJ7),IF($K$14="750-800",IF($K$15="Yes",'Data Tables'!AI7,'Data Tables'!AJ7),IF($K$14="800-850",IF($K$15="Yes",'Data Tables'!AI7,'Data Tables'!AJ7),IF($K$15="Yes",'Data Tables'!AI7,'Data Tables'!AJ7)))))))))))))),IF($K$12="Yare",($K29*(IF($K$13="Freely draining",IF($K$14="550-575",IF($K$15="Yes",'Data Tables'!S18,'Data Tables'!T18),IF($K$14="575-600",IF($K$15="Yes",'Data Tables'!S18,'Data Tables'!T18),IF($K$14="600-625",IF($K$15="Yes",'Data Tables'!Y18,'Data Tables'!Z18),IF($K$14="625-650",IF($K$15="Yes",'Data Tables'!Y18,'Data Tables'!Z18),IF($K$14="650-675",IF($K$15="Yes",'Data Tables'!Y18,'Data Tables'!Z18),IF($K$14="675-700",IF($K$15="Yes",'Data Tables'!Y18,'Data Tables'!Z18),IF($K$14="700-750",IF($K$15="Yes",'Data Tables'!AE18,'Data Tables'!AF18),IF($K$14="750-800",IF($K$15="Yes",'Data Tables'!AE18,'Data Tables'!AF18),IF($K$14="800-850",IF($K$15="Yes",'Data Tables'!AE18,'Data Tables'!AF18),IF($K$15="Yes",'Data Tables'!AE18,'Data Tables'!AF18)))))))))),IF($K$13="Impermeable - drained for arable",IF($K$14="550-575",IF($K$15="Yes",'Data Tables'!U18,'Data Tables'!V18),IF($K$14="575-600",IF($K$15="Yes",'Data Tables'!U18,'Data Tables'!V18),IF($K$14="600-625",IF($K$15="Yes",'Data Tables'!AA18,'Data Tables'!AB18),IF($K$14="625-650",IF($K$15="Yes",'Data Tables'!AA18,'Data Tables'!AB18),IF($K$14="650-675",IF($K$15="Yes",'Data Tables'!AA18,'Data Tables'!AB18),IF($K$14="675-700",IF($K$15="Yes",'Data Tables'!AA18,'Data Tables'!AB18),IF($K$14="700-750",IF($K$15="Yes",'Data Tables'!AG18,'Data Tables'!AH18),IF($K$14="750-800",IF($K$15="Yes",'Data Tables'!AG18,'Data Tables'!AH18),IF($K$14="800-850",IF($K$15="Yes",'Data Tables'!AG18,'Data Tables'!AH18),IF($K$15="Yes",'Data Tables'!AG18,'Data Tables'!AH18)))))))))),IF($K$14="550-575",IF($K$15="Yes",'Data Tables'!W18,'Data Tables'!X18),IF($K$14="575-600",IF($K$15="Yes",'Data Tables'!W18,'Data Tables'!X18),IF($K$14="600-625",IF($K$15="Yes",'Data Tables'!AC18,'Data Tables'!AD18),IF($K$14="625-650",IF($K$15="Yes",'Data Tables'!AC18,'Data Tables'!AD18),IF($K$14="650-675",IF($K$15="Yes",'Data Tables'!AC18,'Data Tables'!AD18),IF($K$14="675-700",IF($K$15="Yes",'Data Tables'!AC18,'Data Tables'!AD18),IF($K$14="700-750",IF($K$15="Yes",'Data Tables'!AI18,'Data Tables'!AJ18),IF($K$14="750-800",IF($K$15="Yes",'Data Tables'!AI18,'Data Tables'!AJ18),IF($K$14="800-850",IF($K$15="Yes",'Data Tables'!AI18,'Data Tables'!AJ18),IF($K$15="Yes",'Data Tables'!AI18,'Data Tables'!AJ18)))))))))))))),($K29*(IF($K$13="Freely draining",IF($K$14="550-575",IF($K$15="Yes",'Data Tables'!S29,'Data Tables'!T29),IF($K$14="575-600",IF($K$15="Yes",'Data Tables'!S29,'Data Tables'!T29),IF($K$14="600-625",IF($K$15="Yes",'Data Tables'!Y29,'Data Tables'!Z29),IF($K$14="625-650",IF($K$15="Yes",'Data Tables'!Y29,'Data Tables'!Z29),IF($K$14="650-675",IF($K$15="Yes",'Data Tables'!Y29,'Data Tables'!Z29),IF($K$14="675-700",IF($K$15="Yes",'Data Tables'!Y29,'Data Tables'!Z29),IF($K$14="700-750",IF($K$15="Yes",'Data Tables'!AE29,'Data Tables'!AF29),IF($K$14="750-800",IF($K$15="Yes",'Data Tables'!AE29,'Data Tables'!AF29),IF($K$14="800-850",IF($K$15="Yes",'Data Tables'!AE29,'Data Tables'!AF29),IF($K$15="Yes",'Data Tables'!AE29,'Data Tables'!AF29)))))))))),IF($K$13="Impermeable - drained for arable",IF($K$14="550-575",IF($K$15="Yes",'Data Tables'!U29,'Data Tables'!V29),IF($K$14="575-600",IF($K$15="Yes",'Data Tables'!U29,'Data Tables'!V29),IF($K$14="600-625",IF($K$15="Yes",'Data Tables'!AA29,'Data Tables'!AB29),IF($K$14="625-650",IF($K$15="Yes",'Data Tables'!AA29,'Data Tables'!AB29),IF($K$14="650-675",IF($K$15="Yes",'Data Tables'!AA29,'Data Tables'!AB29),IF($K$14="675-700",IF($K$15="Yes",'Data Tables'!AA29,'Data Tables'!AB29),IF($K$14="700-750",IF($K$15="Yes",'Data Tables'!AG29,'Data Tables'!AH29),IF($K$14="750-800",IF($K$15="Yes",'Data Tables'!AG29,'Data Tables'!AH29),IF($K$14="800-850",IF($K$15="Yes",'Data Tables'!AG29,'Data Tables'!AH29),IF($K$15="Yes",'Data Tables'!AG29,'Data Tables'!AH29)))))))))),IF($K$14="550-575",IF($K$15="Yes",'Data Tables'!W29,'Data Tables'!X29),IF($K$14="575-600",IF($K$15="Yes",'Data Tables'!W29,'Data Tables'!X29),IF($K$14="600-625",IF($K$15="Yes",'Data Tables'!AC29,'Data Tables'!AD29),IF($K$14="625-650",IF($K$15="Yes",'Data Tables'!AC29,'Data Tables'!AD29),IF($K$14="650-675",IF($K$15="Yes",'Data Tables'!AC29,'Data Tables'!AD29),IF($K$14="675-700",IF($K$15="Yes",'Data Tables'!AC29,'Data Tables'!AD29),IF($K$14="700-750",IF($K$15="Yes",'Data Tables'!AI29,'Data Tables'!AJ29),IF($K$14="750-800",IF($K$15="Yes",'Data Tables'!AI29,'Data Tables'!AJ29),IF($K$14="800-850",IF($K$15="Yes",'Data Tables'!AI29,'Data Tables'!AJ29),IF($K$15="Yes",'Data Tables'!AI29,'Data Tables'!AJ29))))))))))))))))</f>
        <v>0</v>
      </c>
      <c r="P29" s="278"/>
      <c r="Q29" s="281">
        <f>IF($K$12="Wensum",($K29*(IF($K$13="Freely draining",IF($K$14="550-575",IF($K$15="Yes",'Data Tables'!AM7,'Data Tables'!AN7),IF($K$14="575-600",IF($K$15="Yes",'Data Tables'!AM7,'Data Tables'!AN7),IF($K$14="600-625",IF($K$15="Yes",'Data Tables'!AS7,'Data Tables'!AT7),IF($K$14="625-650",IF($K$15="Yes",'Data Tables'!AS7,'Data Tables'!AT7),IF($K$14="650-675",IF($K$15="Yes",'Data Tables'!AS7,'Data Tables'!AT7),IF($K$14="675-700",IF($K$15="Yes",'Data Tables'!AS7,'Data Tables'!AT7),IF($K$14="700-750",IF($K$15="Yes",'Data Tables'!AY7,'Data Tables'!AZ7),IF($K$14="750-800",IF($K$15="Yes",'Data Tables'!AY7,'Data Tables'!AZ7),IF($K$14="800-850",IF($K$15="Yes",'Data Tables'!AY7,'Data Tables'!AZ7),IF($K$15="Yes",'Data Tables'!AS7,'Data Tables'!AT7)))))))))),IF($K$13="Impermeable - drained for arable",IF($K$14="550-575",IF($K$15="Yes",'Data Tables'!AO7,'Data Tables'!AP7),IF($K$14="575-600",IF($K$15="Yes",'Data Tables'!AO7,'Data Tables'!AP7),IF($K$14="600-625",IF($K$15="Yes",'Data Tables'!AU7,'Data Tables'!AV7),IF($K$14="625-650",IF($K$15="Yes",'Data Tables'!AU7,'Data Tables'!AV7),IF($K$14="650-675",IF($K$15="Yes",'Data Tables'!AU7,'Data Tables'!AV7),IF($K$14="675-700",IF($K$15="Yes",'Data Tables'!AU7,'Data Tables'!AV7),IF($K$14="700-750",IF($K$15="Yes",'Data Tables'!BA7,'Data Tables'!BB7),IF($K$14="750-800",IF($K$15="Yes",'Data Tables'!BA7,'Data Tables'!BB7),IF($K$14="800-850",IF($K$15="Yes",'Data Tables'!BA7,'Data Tables'!BB7),IF($K$15="Yes",'Data Tables'!BA7,'Data Tables'!BB7)))))))))),IF($K$14="550-575",IF($K$15="Yes",'Data Tables'!AQ7,'Data Tables'!AR7),IF($K$14="575-600",IF($K$15="Yes",'Data Tables'!AQ7,'Data Tables'!AR7),IF($K$14="600-625",IF($K$15="Yes",'Data Tables'!AW7,'Data Tables'!AX7),IF($K$14="625-650",IF($K$15="Yes",'Data Tables'!AW7,'Data Tables'!AX7),IF($K$14="650-675",IF($K$15="Yes",'Data Tables'!AW7,'Data Tables'!AX7),IF($K$14="675-700",IF($K$15="Yes",'Data Tables'!AW7,'Data Tables'!AX7),IF($K$14="700-750",IF($K$15="Yes",'Data Tables'!BC7,'Data Tables'!BD7),IF($K$14="750-800",IF($K$15="Yes",'Data Tables'!BC7,'Data Tables'!BD7),IF($K$14="800-850",IF($K$15="Yes",'Data Tables'!BC7,'Data Tables'!BD7),IF($K$15="Yes",'Data Tables'!BC7,'Data Tables'!BD7)))))))))))))),IF($K$12="Yare",($K29*(IF($K$13="Freely draining",IF($K$14="550-575",IF($K$15="Yes",'Data Tables'!AM18,'Data Tables'!AN18),IF($K$14="575-600",IF($K$15="Yes",'Data Tables'!AM18,'Data Tables'!AN18),IF($K$14="600-625",IF($K$15="Yes",'Data Tables'!AS18,'Data Tables'!AT18),IF($K$14="625-650",IF($K$15="Yes",'Data Tables'!AS18,'Data Tables'!AT18),IF($K$14="650-675",IF($K$15="Yes",'Data Tables'!AS18,'Data Tables'!AT18),IF($K$14="675-700",IF($K$15="Yes",'Data Tables'!AS18,'Data Tables'!AT18),IF($K$14="700-750",IF($K$15="Yes",'Data Tables'!AY18,'Data Tables'!AZ18),IF($K$14="750-800",IF($K$15="Yes",'Data Tables'!AY18,'Data Tables'!AZ18),IF($K$14="800-850",IF($K$15="Yes",'Data Tables'!AY18,'Data Tables'!AZ18),IF($K$15="Yes",'Data Tables'!AY18,'Data Tables'!AZ18)))))))))),IF($K$13="Impermeable - drained for arable",IF($K$14="550-575",IF($K$15="Yes",'Data Tables'!AO18,'Data Tables'!AP18),IF($K$14="575-600",IF($K$15="Yes",'Data Tables'!AO18,'Data Tables'!AP18),IF($K$14="600-625",IF($K$15="Yes",'Data Tables'!AU18,'Data Tables'!AV18),IF($K$14="625-650",IF($K$15="Yes",'Data Tables'!AU18,'Data Tables'!AV18),IF($K$14="650-675",IF($K$15="Yes",'Data Tables'!AU18,'Data Tables'!AV18),IF($K$14="675-700",IF($K$15="Yes",'Data Tables'!AU18,'Data Tables'!AV18),IF($K$14="700-750",IF($K$15="Yes",'Data Tables'!BA18,'Data Tables'!BB18),IF($K$14="750-800",IF($K$15="Yes",'Data Tables'!BA18,'Data Tables'!BB18),IF($K$14="800-850",IF($K$15="Yes",'Data Tables'!BA18,'Data Tables'!BB18),IF($K$15="Yes",'Data Tables'!BA18,'Data Tables'!BB18)))))))))),IF($K$14="550-575",IF($K$15="Yes",'Data Tables'!AQ18,'Data Tables'!AR18),IF($K$14="575-600",IF($K$15="Yes",'Data Tables'!AQ18,'Data Tables'!AR18),IF($K$14="600-625",IF($K$15="Yes",'Data Tables'!AW18,'Data Tables'!AX18),IF($K$14="625-650",IF($K$15="Yes",'Data Tables'!AW18,'Data Tables'!AX18),IF($K$14="650-675",IF($K$15="Yes",'Data Tables'!AW18,'Data Tables'!AX18),IF($K$14="675-700",IF($K$15="Yes",'Data Tables'!AW18,'Data Tables'!AX18),IF($K$14="700-750",IF($K$15="Yes",'Data Tables'!BC18,'Data Tables'!BD18),IF($K$14="750-800",IF($K$15="Yes",'Data Tables'!BC18,'Data Tables'!BD18),IF($K$14="800-850",IF($K$15="Yes",'Data Tables'!BC18,'Data Tables'!BD18),IF($K$15="Yes",'Data Tables'!BC18,'Data Tables'!BD18)))))))))))))),($K29*(IF($K$13="Freely draining",IF($K$14="550-575",IF($K$15="Yes",'Data Tables'!AM29,'Data Tables'!AN29),IF($K$14="575-600",IF($K$15="Yes",'Data Tables'!AM29,'Data Tables'!AN29),IF($K$14="600-625",IF($K$15="Yes",'Data Tables'!AS29,'Data Tables'!AT29),IF($K$14="625-650",IF($K$15="Yes",'Data Tables'!AS29,'Data Tables'!AT29),IF($K$14="650-675",IF($K$15="Yes",'Data Tables'!AS29,'Data Tables'!AT29),IF($K$14="675-700",IF($K$15="Yes",'Data Tables'!AS29,'Data Tables'!AT29),IF($K$14="700-750",IF($K$15="Yes",'Data Tables'!AY29,'Data Tables'!AZ29),IF($K$14="750-800",IF($K$15="Yes",'Data Tables'!AY29,'Data Tables'!AZ29),IF($K$14="800-850",IF($K$15="Yes",'Data Tables'!AY29,'Data Tables'!AZ29),IF($K$15="Yes",'Data Tables'!AY29,'Data Tables'!AZ29)))))))))),IF($K$13="Impermeable - drained for arable",IF($K$14="550-575",IF($K$15="Yes",'Data Tables'!AO29,'Data Tables'!AP29),IF($K$14="575-600",IF($K$15="Yes",'Data Tables'!AO29,'Data Tables'!AP29),IF($K$14="600-625",IF($K$15="Yes",'Data Tables'!AU29,'Data Tables'!AV29),IF($K$14="625-650",IF($K$15="Yes",'Data Tables'!AU29,'Data Tables'!AV29),IF($K$14="650-675",IF($K$15="Yes",'Data Tables'!AU29,'Data Tables'!AV29),IF($K$14="675-700",IF($K$15="Yes",'Data Tables'!AU29,'Data Tables'!AV29),IF($K$14="700-750",IF($K$15="Yes",'Data Tables'!BA29,'Data Tables'!BB29),IF($K$14="750-800",IF($K$15="Yes",'Data Tables'!BA29,'Data Tables'!BB29),IF($K$14="800-850",IF($K$15="Yes",'Data Tables'!BA29,'Data Tables'!BB29),IF($K$15="Yes",'Data Tables'!BA29,'Data Tables'!BB29)))))))))),IF($K$14="550-575",IF($K$15="Yes",'Data Tables'!AQ29,'Data Tables'!AR29),IF($K$14="575-600",IF($K$15="Yes",'Data Tables'!AQ29,'Data Tables'!AR29),IF($K$14="600-625",IF($K$15="Yes",'Data Tables'!AW29,'Data Tables'!AX29),IF($K$14="625-650",IF($K$15="Yes",'Data Tables'!AW29,'Data Tables'!AX29),IF($K$14="650-675",IF($K$15="Yes",'Data Tables'!AW29,'Data Tables'!AX29),IF($K$14="675-700",IF($K$15="Yes",'Data Tables'!AW29,'Data Tables'!AX29),IF($K$14="700-750",IF($K$15="Yes",'Data Tables'!BC29,'Data Tables'!BD29),IF($K$14="750-800",IF($K$15="Yes",'Data Tables'!BC29,'Data Tables'!BD29),IF($K$14="800-850",IF($K$15="Yes",'Data Tables'!BC29,'Data Tables'!BD29),IF($K$15="Yes",'Data Tables'!BC29,'Data Tables'!BD29))))))))))))))))</f>
        <v>0</v>
      </c>
      <c r="R29" s="282"/>
      <c r="S29" s="49" t="s">
        <v>324</v>
      </c>
      <c r="T29" s="6"/>
      <c r="W29" s="110"/>
      <c r="X29" s="110"/>
      <c r="Y29" s="110"/>
      <c r="Z29" s="110"/>
      <c r="AA29" s="110"/>
      <c r="AB29" s="110"/>
      <c r="AC29" s="110"/>
      <c r="AD29" s="110"/>
      <c r="AE29" s="110"/>
      <c r="AF29" s="110"/>
      <c r="AG29" s="110"/>
      <c r="AH29" s="110"/>
      <c r="AI29" s="110"/>
      <c r="AJ29" s="110"/>
      <c r="AK29" s="110"/>
      <c r="AL29" s="110"/>
      <c r="AM29" s="110"/>
      <c r="AN29" s="110"/>
      <c r="AO29" s="110"/>
      <c r="AQ29" s="110"/>
      <c r="AR29" s="110"/>
      <c r="AS29" s="110"/>
      <c r="AT29" s="110"/>
      <c r="AU29" s="110"/>
      <c r="AV29" s="110"/>
      <c r="AW29" s="110"/>
      <c r="AX29" s="110"/>
      <c r="AY29" s="110"/>
      <c r="AZ29" s="110"/>
      <c r="BA29" s="110"/>
      <c r="BB29" s="110"/>
      <c r="BC29" s="110"/>
    </row>
    <row r="30" spans="2:55" ht="14.7" customHeight="1">
      <c r="B30" s="4"/>
      <c r="C30" s="42"/>
      <c r="D30" s="222"/>
      <c r="E30" s="49"/>
      <c r="F30" s="435" t="s">
        <v>325</v>
      </c>
      <c r="G30" s="435"/>
      <c r="H30" s="435"/>
      <c r="I30" s="435"/>
      <c r="J30" s="435"/>
      <c r="K30" s="276"/>
      <c r="L30" s="235" t="s">
        <v>323</v>
      </c>
      <c r="M30" s="49"/>
      <c r="N30" s="49"/>
      <c r="O30" s="281">
        <f>IF($K$12="Wensum",($K30*(IF($K$13="Freely draining",IF($K$14="550-575",IF($K$15="Yes",'Data Tables'!S8,'Data Tables'!T8),IF($K$14="575-600",IF($K$15="Yes",'Data Tables'!S8,'Data Tables'!T8),IF($K$14="600-625",IF($K$15="Yes",'Data Tables'!Y8,'Data Tables'!Z8),IF($K$14="625-650",IF($K$15="Yes",'Data Tables'!Y8,'Data Tables'!Z8),IF($K$14="650-675",IF($K$15="Yes",'Data Tables'!Y8,'Data Tables'!Z8),IF($K$14="675-700",IF($K$15="Yes",'Data Tables'!Y8,'Data Tables'!Z8),IF($K$14="700-750",IF($K$15="Yes",'Data Tables'!AE8,'Data Tables'!AF8),IF($K$14="750-800",IF($K$15="Yes",'Data Tables'!AE8,'Data Tables'!AF8),IF($K$14="800-850",IF($K$15="Yes",'Data Tables'!AE8,'Data Tables'!AF8),IF($K$15="Yes",'Data Tables'!Y8,'Data Tables'!Z8)))))))))),IF($K$13="Impermeable - drained for arable",IF($K$14="550-575",IF($K$15="Yes",'Data Tables'!U8,'Data Tables'!V8),IF($K$14="575-600",IF($K$15="Yes",'Data Tables'!U8,'Data Tables'!V8),IF($K$14="600-625",IF($K$15="Yes",'Data Tables'!AA8,'Data Tables'!AB8),IF($K$14="625-650",IF($K$15="Yes",'Data Tables'!AA8,'Data Tables'!AB8),IF($K$14="650-675",IF($K$15="Yes",'Data Tables'!AA8,'Data Tables'!AB8),IF($K$14="675-700",IF($K$15="Yes",'Data Tables'!AA8,'Data Tables'!AB8),IF($K$14="700-750",IF($K$15="Yes",'Data Tables'!AG8,'Data Tables'!AH8),IF($K$14="750-800",IF($K$15="Yes",'Data Tables'!AG8,'Data Tables'!AH8),IF($K$14="800-850",IF($K$15="Yes",'Data Tables'!AG8,'Data Tables'!AH8),IF($K$15="Yes",'Data Tables'!AG8,'Data Tables'!AH8)))))))))),IF($K$14="550-575",IF($K$15="Yes",'Data Tables'!W8,'Data Tables'!X8),IF($K$14="575-600",IF($K$15="Yes",'Data Tables'!W8,'Data Tables'!X8),IF($K$14="600-625",IF($K$15="Yes",'Data Tables'!AC8,'Data Tables'!AD8),IF($K$14="625-650",IF($K$15="Yes",'Data Tables'!AC8,'Data Tables'!AD8),IF($K$14="650-675",IF($K$15="Yes",'Data Tables'!AC8,'Data Tables'!AD8),IF($K$14="675-700",IF($K$15="Yes",'Data Tables'!AC8,'Data Tables'!AD8),IF($K$14="700-750",IF($K$15="Yes",'Data Tables'!AI8,'Data Tables'!AJ8),IF($K$14="750-800",IF($K$15="Yes",'Data Tables'!AI8,'Data Tables'!AJ8),IF($K$14="800-850",IF($K$15="Yes",'Data Tables'!AI8,'Data Tables'!AJ8),IF($K$15="Yes",'Data Tables'!AI8,'Data Tables'!AJ8)))))))))))))),IF($K$12="Yare",($K30*(IF($K$13="Freely draining",IF($K$14="550-575",IF($K$15="Yes",'Data Tables'!S19,'Data Tables'!T19),IF($K$14="575-600",IF($K$15="Yes",'Data Tables'!S19,'Data Tables'!T19),IF($K$14="600-625",IF($K$15="Yes",'Data Tables'!Y19,'Data Tables'!Z19),IF($K$14="625-650",IF($K$15="Yes",'Data Tables'!Y19,'Data Tables'!Z19),IF($K$14="650-675",IF($K$15="Yes",'Data Tables'!Y19,'Data Tables'!Z19),IF($K$14="675-700",IF($K$15="Yes",'Data Tables'!Y19,'Data Tables'!Z19),IF($K$14="700-750",IF($K$15="Yes",'Data Tables'!AE19,'Data Tables'!AF19),IF($K$14="750-800",IF($K$15="Yes",'Data Tables'!AE19,'Data Tables'!AF19),IF($K$14="800-850",IF($K$15="Yes",'Data Tables'!AE19,'Data Tables'!AF19),IF($K$15="Yes",'Data Tables'!AE19,'Data Tables'!AF19)))))))))),IF($K$13="Impermeable - drained for arable",IF($K$14="550-575",IF($K$15="Yes",'Data Tables'!U19,'Data Tables'!V19),IF($K$14="575-600",IF($K$15="Yes",'Data Tables'!U19,'Data Tables'!V19),IF($K$14="600-625",IF($K$15="Yes",'Data Tables'!AA19,'Data Tables'!AB19),IF($K$14="625-650",IF($K$15="Yes",'Data Tables'!AA19,'Data Tables'!AB19),IF($K$14="650-675",IF($K$15="Yes",'Data Tables'!AA19,'Data Tables'!AB19),IF($K$14="675-700",IF($K$15="Yes",'Data Tables'!AA19,'Data Tables'!AB19),IF($K$14="700-750",IF($K$15="Yes",'Data Tables'!AG19,'Data Tables'!AH19),IF($K$14="750-800",IF($K$15="Yes",'Data Tables'!AG19,'Data Tables'!AH19),IF($K$14="800-850",IF($K$15="Yes",'Data Tables'!AG19,'Data Tables'!AH19),IF($K$15="Yes",'Data Tables'!AG19,'Data Tables'!AH19)))))))))),IF($K$14="550-575",IF($K$15="Yes",'Data Tables'!W19,'Data Tables'!X19),IF($K$14="575-600",IF($K$15="Yes",'Data Tables'!W19,'Data Tables'!X19),IF($K$14="600-625",IF($K$15="Yes",'Data Tables'!AC19,'Data Tables'!AD19),IF($K$14="625-650",IF($K$15="Yes",'Data Tables'!AC19,'Data Tables'!AD19),IF($K$14="650-675",IF($K$15="Yes",'Data Tables'!AC19,'Data Tables'!AD19),IF($K$14="675-700",IF($K$15="Yes",'Data Tables'!AC19,'Data Tables'!AD19),IF($K$14="700-750",IF($K$15="Yes",'Data Tables'!AI19,'Data Tables'!AJ19),IF($K$14="750-800",IF($K$15="Yes",'Data Tables'!AI19,'Data Tables'!AJ19),IF($K$14="800-850",IF($K$15="Yes",'Data Tables'!AI19,'Data Tables'!AJ19),IF($K$15="Yes",'Data Tables'!AI19,'Data Tables'!AJ19)))))))))))))),($K30*(IF($K$13="Freely draining",IF($K$14="550-575",IF($K$15="Yes",'Data Tables'!S30,'Data Tables'!T30),IF($K$14="575-600",IF($K$15="Yes",'Data Tables'!S30,'Data Tables'!T30),IF($K$14="600-625",IF($K$15="Yes",'Data Tables'!Y30,'Data Tables'!Z30),IF($K$14="625-650",IF($K$15="Yes",'Data Tables'!Y30,'Data Tables'!Z30),IF($K$14="650-675",IF($K$15="Yes",'Data Tables'!Y30,'Data Tables'!Z30),IF($K$14="675-700",IF($K$15="Yes",'Data Tables'!Y30,'Data Tables'!Z30),IF($K$14="700-750",IF($K$15="Yes",'Data Tables'!AE30,'Data Tables'!AF30),IF($K$14="750-800",IF($K$15="Yes",'Data Tables'!AE30,'Data Tables'!AF30),IF($K$14="800-850",IF($K$15="Yes",'Data Tables'!AE30,'Data Tables'!AF30),IF($K$15="Yes",'Data Tables'!AE30,'Data Tables'!AF30)))))))))),IF($K$13="Impermeable - drained for arable",IF($K$14="550-575",IF($K$15="Yes",'Data Tables'!U30,'Data Tables'!V30),IF($K$14="575-600",IF($K$15="Yes",'Data Tables'!U30,'Data Tables'!V30),IF($K$14="600-625",IF($K$15="Yes",'Data Tables'!AA30,'Data Tables'!AB30),IF($K$14="625-650",IF($K$15="Yes",'Data Tables'!AA30,'Data Tables'!AB30),IF($K$14="650-675",IF($K$15="Yes",'Data Tables'!AA30,'Data Tables'!AB30),IF($K$14="675-700",IF($K$15="Yes",'Data Tables'!AA30,'Data Tables'!AB30),IF($K$14="700-750",IF($K$15="Yes",'Data Tables'!AG30,'Data Tables'!AH30),IF($K$14="750-800",IF($K$15="Yes",'Data Tables'!AG30,'Data Tables'!AH30),IF($K$14="800-850",IF($K$15="Yes",'Data Tables'!AG30,'Data Tables'!AH30),IF($K$15="Yes",'Data Tables'!AG30,'Data Tables'!AH30)))))))))),IF($K$14="550-575",IF($K$15="Yes",'Data Tables'!W30,'Data Tables'!X30),IF($K$14="575-600",IF($K$15="Yes",'Data Tables'!W30,'Data Tables'!X30),IF($K$14="600-625",IF($K$15="Yes",'Data Tables'!AC30,'Data Tables'!AD30),IF($K$14="625-650",IF($K$15="Yes",'Data Tables'!AC30,'Data Tables'!AD30),IF($K$14="650-675",IF($K$15="Yes",'Data Tables'!AC30,'Data Tables'!AD30),IF($K$14="675-700",IF($K$15="Yes",'Data Tables'!AC30,'Data Tables'!AD30),IF($K$14="700-750",IF($K$15="Yes",'Data Tables'!AI30,'Data Tables'!AJ30),IF($K$14="750-800",IF($K$15="Yes",'Data Tables'!AI30,'Data Tables'!AJ30),IF($K$14="800-850",IF($K$15="Yes",'Data Tables'!AI30,'Data Tables'!AJ30),IF($K$15="Yes",'Data Tables'!AI30,'Data Tables'!AJ30))))))))))))))))</f>
        <v>0</v>
      </c>
      <c r="P30" s="278"/>
      <c r="Q30" s="281">
        <f>IF($K$12="Wensum",($K30*(IF($K$13="Freely draining",IF($K$14="550-575",IF($K$15="Yes",'Data Tables'!AM8,'Data Tables'!AN8),IF($K$14="575-600",IF($K$15="Yes",'Data Tables'!AM8,'Data Tables'!AN8),IF($K$14="600-625",IF($K$15="Yes",'Data Tables'!AS8,'Data Tables'!AT8),IF($K$14="625-650",IF($K$15="Yes",'Data Tables'!AS8,'Data Tables'!AT8),IF($K$14="650-675",IF($K$15="Yes",'Data Tables'!AS8,'Data Tables'!AT8),IF($K$14="675-700",IF($K$15="Yes",'Data Tables'!AS8,'Data Tables'!AT8),IF($K$14="700-750",IF($K$15="Yes",'Data Tables'!AY8,'Data Tables'!AZ8),IF($K$14="750-800",IF($K$15="Yes",'Data Tables'!AY8,'Data Tables'!AZ8),IF($K$14="800-850",IF($K$15="Yes",'Data Tables'!AY8,'Data Tables'!AZ8),IF($K$15="Yes",'Data Tables'!AS8,'Data Tables'!AT8)))))))))),IF($K$13="Impermeable - drained for arable",IF($K$14="550-575",IF($K$15="Yes",'Data Tables'!AO8,'Data Tables'!AP8),IF($K$14="575-600",IF($K$15="Yes",'Data Tables'!AO8,'Data Tables'!AP8),IF($K$14="600-625",IF($K$15="Yes",'Data Tables'!AU8,'Data Tables'!AV8),IF($K$14="625-650",IF($K$15="Yes",'Data Tables'!AU8,'Data Tables'!AV8),IF($K$14="650-675",IF($K$15="Yes",'Data Tables'!AU8,'Data Tables'!AV8),IF($K$14="675-700",IF($K$15="Yes",'Data Tables'!AU8,'Data Tables'!AV8),IF($K$14="700-750",IF($K$15="Yes",'Data Tables'!BA8,'Data Tables'!BB8),IF($K$14="750-800",IF($K$15="Yes",'Data Tables'!BA8,'Data Tables'!BB8),IF($K$14="800-850",IF($K$15="Yes",'Data Tables'!BA8,'Data Tables'!BB8),IF($K$15="Yes",'Data Tables'!BA8,'Data Tables'!BB8)))))))))),IF($K$14="550-575",IF($K$15="Yes",'Data Tables'!AQ8,'Data Tables'!AR8),IF($K$14="575-600",IF($K$15="Yes",'Data Tables'!AQ8,'Data Tables'!AR8),IF($K$14="600-625",IF($K$15="Yes",'Data Tables'!AW8,'Data Tables'!AX8),IF($K$14="625-650",IF($K$15="Yes",'Data Tables'!AW8,'Data Tables'!AX8),IF($K$14="650-675",IF($K$15="Yes",'Data Tables'!AW8,'Data Tables'!AX8),IF($K$14="675-700",IF($K$15="Yes",'Data Tables'!AW8,'Data Tables'!AX8),IF($K$14="700-750",IF($K$15="Yes",'Data Tables'!BC8,'Data Tables'!BD8),IF($K$14="750-800",IF($K$15="Yes",'Data Tables'!BC8,'Data Tables'!BD8),IF($K$14="800-850",IF($K$15="Yes",'Data Tables'!BC8,'Data Tables'!BD8),IF($K$15="Yes",'Data Tables'!BC8,'Data Tables'!BD8)))))))))))))),IF($K$12="Yare",($K30*(IF($K$13="Freely draining",IF($K$14="550-575",IF($K$15="Yes",'Data Tables'!AM19,'Data Tables'!AN19),IF($K$14="575-600",IF($K$15="Yes",'Data Tables'!AM19,'Data Tables'!AN19),IF($K$14="600-625",IF($K$15="Yes",'Data Tables'!AS19,'Data Tables'!AT19),IF($K$14="625-650",IF($K$15="Yes",'Data Tables'!AS19,'Data Tables'!AT19),IF($K$14="650-675",IF($K$15="Yes",'Data Tables'!AS19,'Data Tables'!AT19),IF($K$14="675-700",IF($K$15="Yes",'Data Tables'!AS19,'Data Tables'!AT19),IF($K$14="700-750",IF($K$15="Yes",'Data Tables'!AY19,'Data Tables'!AZ19),IF($K$14="750-800",IF($K$15="Yes",'Data Tables'!AY19,'Data Tables'!AZ19),IF($K$14="800-850",IF($K$15="Yes",'Data Tables'!AY19,'Data Tables'!AZ19),IF($K$15="Yes",'Data Tables'!AY19,'Data Tables'!AZ19)))))))))),IF($K$13="Impermeable - drained for arable",IF($K$14="550-575",IF($K$15="Yes",'Data Tables'!AO19,'Data Tables'!AP19),IF($K$14="575-600",IF($K$15="Yes",'Data Tables'!AO19,'Data Tables'!AP19),IF($K$14="600-625",IF($K$15="Yes",'Data Tables'!AU19,'Data Tables'!AV19),IF($K$14="625-650",IF($K$15="Yes",'Data Tables'!AU19,'Data Tables'!AV19),IF($K$14="650-675",IF($K$15="Yes",'Data Tables'!AU19,'Data Tables'!AV19),IF($K$14="675-700",IF($K$15="Yes",'Data Tables'!AU19,'Data Tables'!AV19),IF($K$14="700-750",IF($K$15="Yes",'Data Tables'!BA19,'Data Tables'!BB19),IF($K$14="750-800",IF($K$15="Yes",'Data Tables'!BA19,'Data Tables'!BB19),IF($K$14="800-850",IF($K$15="Yes",'Data Tables'!BA19,'Data Tables'!BB19),IF($K$15="Yes",'Data Tables'!BA19,'Data Tables'!BB19)))))))))),IF($K$14="550-575",IF($K$15="Yes",'Data Tables'!AQ19,'Data Tables'!AR19),IF($K$14="575-600",IF($K$15="Yes",'Data Tables'!AQ19,'Data Tables'!AR19),IF($K$14="600-625",IF($K$15="Yes",'Data Tables'!AW19,'Data Tables'!AX19),IF($K$14="625-650",IF($K$15="Yes",'Data Tables'!AW19,'Data Tables'!AX19),IF($K$14="650-675",IF($K$15="Yes",'Data Tables'!AW19,'Data Tables'!AX19),IF($K$14="675-700",IF($K$15="Yes",'Data Tables'!AW19,'Data Tables'!AX19),IF($K$14="700-750",IF($K$15="Yes",'Data Tables'!BC19,'Data Tables'!BD19),IF($K$14="750-800",IF($K$15="Yes",'Data Tables'!BC19,'Data Tables'!BD19),IF($K$14="800-850",IF($K$15="Yes",'Data Tables'!BC19,'Data Tables'!BD19),IF($K$15="Yes",'Data Tables'!BC19,'Data Tables'!BD19)))))))))))))),($K30*(IF($K$13="Freely draining",IF($K$14="550-575",IF($K$15="Yes",'Data Tables'!AM30,'Data Tables'!AN30),IF($K$14="575-600",IF($K$15="Yes",'Data Tables'!AM30,'Data Tables'!AN30),IF($K$14="600-625",IF($K$15="Yes",'Data Tables'!AS30,'Data Tables'!AT30),IF($K$14="625-650",IF($K$15="Yes",'Data Tables'!AS30,'Data Tables'!AT30),IF($K$14="650-675",IF($K$15="Yes",'Data Tables'!AS30,'Data Tables'!AT30),IF($K$14="675-700",IF($K$15="Yes",'Data Tables'!AS30,'Data Tables'!AT30),IF($K$14="700-750",IF($K$15="Yes",'Data Tables'!AY30,'Data Tables'!AZ30),IF($K$14="750-800",IF($K$15="Yes",'Data Tables'!AY30,'Data Tables'!AZ30),IF($K$14="800-850",IF($K$15="Yes",'Data Tables'!AY30,'Data Tables'!AZ30),IF($K$15="Yes",'Data Tables'!AY30,'Data Tables'!AZ30)))))))))),IF($K$13="Impermeable - drained for arable",IF($K$14="550-575",IF($K$15="Yes",'Data Tables'!AO30,'Data Tables'!AP30),IF($K$14="575-600",IF($K$15="Yes",'Data Tables'!AO30,'Data Tables'!AP30),IF($K$14="600-625",IF($K$15="Yes",'Data Tables'!AU30,'Data Tables'!AV30),IF($K$14="625-650",IF($K$15="Yes",'Data Tables'!AU30,'Data Tables'!AV30),IF($K$14="650-675",IF($K$15="Yes",'Data Tables'!AU30,'Data Tables'!AV30),IF($K$14="675-700",IF($K$15="Yes",'Data Tables'!AU30,'Data Tables'!AV30),IF($K$14="700-750",IF($K$15="Yes",'Data Tables'!BA30,'Data Tables'!BB30),IF($K$14="750-800",IF($K$15="Yes",'Data Tables'!BA30,'Data Tables'!BB30),IF($K$14="800-850",IF($K$15="Yes",'Data Tables'!BA30,'Data Tables'!BB30),IF($K$15="Yes",'Data Tables'!BA30,'Data Tables'!BB30)))))))))),IF($K$14="550-575",IF($K$15="Yes",'Data Tables'!AQ30,'Data Tables'!AR30),IF($K$14="575-600",IF($K$15="Yes",'Data Tables'!AQ30,'Data Tables'!AR30),IF($K$14="600-625",IF($K$15="Yes",'Data Tables'!AW30,'Data Tables'!AX30),IF($K$14="625-650",IF($K$15="Yes",'Data Tables'!AW30,'Data Tables'!AX30),IF($K$14="650-675",IF($K$15="Yes",'Data Tables'!AW30,'Data Tables'!AX30),IF($K$14="675-700",IF($K$15="Yes",'Data Tables'!AW30,'Data Tables'!AX30),IF($K$14="700-750",IF($K$15="Yes",'Data Tables'!BC30,'Data Tables'!BD30),IF($K$14="750-800",IF($K$15="Yes",'Data Tables'!BC30,'Data Tables'!BD30),IF($K$14="800-850",IF($K$15="Yes",'Data Tables'!BC30,'Data Tables'!BD30),IF($K$15="Yes",'Data Tables'!BC30,'Data Tables'!BD30))))))))))))))))</f>
        <v>0</v>
      </c>
      <c r="R30" s="282"/>
      <c r="S30" s="49" t="s">
        <v>324</v>
      </c>
      <c r="T30" s="6"/>
      <c r="W30" s="110"/>
      <c r="X30" s="110"/>
      <c r="Y30" s="110"/>
      <c r="Z30" s="110"/>
      <c r="AA30" s="110"/>
      <c r="AB30" s="110"/>
      <c r="AC30" s="110"/>
      <c r="AD30" s="110"/>
      <c r="AE30" s="110"/>
      <c r="AF30" s="110"/>
      <c r="AG30" s="110"/>
      <c r="AH30" s="110"/>
      <c r="AI30" s="110"/>
      <c r="AJ30" s="110"/>
      <c r="AK30" s="110"/>
      <c r="AL30" s="110"/>
      <c r="AM30" s="110"/>
      <c r="AN30" s="110"/>
      <c r="AO30" s="110"/>
      <c r="AQ30" s="110"/>
      <c r="AR30" s="110"/>
      <c r="AS30" s="110"/>
      <c r="AT30" s="110"/>
      <c r="AU30" s="110"/>
      <c r="AV30" s="110"/>
      <c r="AW30" s="110"/>
      <c r="AX30" s="110"/>
      <c r="AY30" s="110"/>
      <c r="AZ30" s="110"/>
      <c r="BA30" s="110"/>
      <c r="BB30" s="110"/>
      <c r="BC30" s="110"/>
    </row>
    <row r="31" spans="2:55" ht="14.7" customHeight="1">
      <c r="B31" s="4"/>
      <c r="C31" s="42"/>
      <c r="D31" s="222"/>
      <c r="E31" s="49"/>
      <c r="F31" s="435" t="s">
        <v>326</v>
      </c>
      <c r="G31" s="435"/>
      <c r="H31" s="435"/>
      <c r="I31" s="435"/>
      <c r="J31" s="435"/>
      <c r="K31" s="276"/>
      <c r="L31" s="235" t="s">
        <v>323</v>
      </c>
      <c r="M31" s="49"/>
      <c r="N31" s="49"/>
      <c r="O31" s="281">
        <f>IF($K$12="Wensum",($K31*(IF($K$13="Freely draining",IF($K$14="550-575",IF($K$15="Yes",'Data Tables'!S9,'Data Tables'!T9),IF($K$14="575-600",IF($K$15="Yes",'Data Tables'!S9,'Data Tables'!T9),IF($K$14="600-625",IF($K$15="Yes",'Data Tables'!Y9,'Data Tables'!Z9),IF($K$14="625-650",IF($K$15="Yes",'Data Tables'!Y9,'Data Tables'!Z9),IF($K$14="650-675",IF($K$15="Yes",'Data Tables'!Y9,'Data Tables'!Z9),IF($K$14="675-700",IF($K$15="Yes",'Data Tables'!Y9,'Data Tables'!Z9),IF($K$14="700-750",IF($K$15="Yes",'Data Tables'!AE9,'Data Tables'!AF9),IF($K$14="750-800",IF($K$15="Yes",'Data Tables'!AE9,'Data Tables'!AF9),IF($K$14="800-850",IF($K$15="Yes",'Data Tables'!AE9,'Data Tables'!AF9),IF($K$15="Yes",'Data Tables'!Y9,'Data Tables'!Z9)))))))))),IF($K$13="Impermeable - drained for arable",IF($K$14="550-575",IF($K$15="Yes",'Data Tables'!U9,'Data Tables'!V9),IF($K$14="575-600",IF($K$15="Yes",'Data Tables'!U9,'Data Tables'!V9),IF($K$14="600-625",IF($K$15="Yes",'Data Tables'!AA9,'Data Tables'!AB9),IF($K$14="625-650",IF($K$15="Yes",'Data Tables'!AA9,'Data Tables'!AB9),IF($K$14="650-675",IF($K$15="Yes",'Data Tables'!AA9,'Data Tables'!AB9),IF($K$14="675-700",IF($K$15="Yes",'Data Tables'!AA9,'Data Tables'!AB9),IF($K$14="700-750",IF($K$15="Yes",'Data Tables'!AG9,'Data Tables'!AH9),IF($K$14="750-800",IF($K$15="Yes",'Data Tables'!AG9,'Data Tables'!AH9),IF($K$14="800-850",IF($K$15="Yes",'Data Tables'!AG9,'Data Tables'!AH9),IF($K$15="Yes",'Data Tables'!AG9,'Data Tables'!AH9)))))))))),IF($K$14="550-575",IF($K$15="Yes",'Data Tables'!W9,'Data Tables'!X9),IF($K$14="575-600",IF($K$15="Yes",'Data Tables'!W9,'Data Tables'!X9),IF($K$14="600-625",IF($K$15="Yes",'Data Tables'!AC9,'Data Tables'!AD9),IF($K$14="625-650",IF($K$15="Yes",'Data Tables'!AC9,'Data Tables'!AD9),IF($K$14="650-675",IF($K$15="Yes",'Data Tables'!AC9,'Data Tables'!AD9),IF($K$14="675-700",IF($K$15="Yes",'Data Tables'!AC9,'Data Tables'!AD9),IF($K$14="700-750",IF($K$15="Yes",'Data Tables'!AI9,'Data Tables'!AJ9),IF($K$14="750-800",IF($K$15="Yes",'Data Tables'!AI9,'Data Tables'!AJ9),IF($K$14="800-850",IF($K$15="Yes",'Data Tables'!AI9,'Data Tables'!AJ9),IF($K$15="Yes",'Data Tables'!AI9,'Data Tables'!AJ9)))))))))))))),IF($K$12="Yare",($K31*(IF($K$13="Freely draining",IF($K$14="550-575",IF($K$15="Yes",'Data Tables'!S20,'Data Tables'!T20),IF($K$14="575-600",IF($K$15="Yes",'Data Tables'!S20,'Data Tables'!T20),IF($K$14="600-625",IF($K$15="Yes",'Data Tables'!Y20,'Data Tables'!Z20),IF($K$14="625-650",IF($K$15="Yes",'Data Tables'!Y20,'Data Tables'!Z20),IF($K$14="650-675",IF($K$15="Yes",'Data Tables'!Y20,'Data Tables'!Z20),IF($K$14="675-700",IF($K$15="Yes",'Data Tables'!Y20,'Data Tables'!Z20),IF($K$14="700-750",IF($K$15="Yes",'Data Tables'!AE20,'Data Tables'!AF20),IF($K$14="750-800",IF($K$15="Yes",'Data Tables'!AE20,'Data Tables'!AF20),IF($K$14="800-850",IF($K$15="Yes",'Data Tables'!AE20,'Data Tables'!AF20),IF($K$15="Yes",'Data Tables'!AE20,'Data Tables'!AF20)))))))))),IF($K$13="Impermeable - drained for arable",IF($K$14="550-575",IF($K$15="Yes",'Data Tables'!U20,'Data Tables'!V20),IF($K$14="575-600",IF($K$15="Yes",'Data Tables'!U20,'Data Tables'!V20),IF($K$14="600-625",IF($K$15="Yes",'Data Tables'!AA20,'Data Tables'!AB20),IF($K$14="625-650",IF($K$15="Yes",'Data Tables'!AA20,'Data Tables'!AB20),IF($K$14="650-675",IF($K$15="Yes",'Data Tables'!AA20,'Data Tables'!AB20),IF($K$14="675-700",IF($K$15="Yes",'Data Tables'!AA20,'Data Tables'!AB20),IF($K$14="700-750",IF($K$15="Yes",'Data Tables'!AG20,'Data Tables'!AH20),IF($K$14="750-800",IF($K$15="Yes",'Data Tables'!AG20,'Data Tables'!AH20),IF($K$14="800-850",IF($K$15="Yes",'Data Tables'!AG20,'Data Tables'!AH20),IF($K$15="Yes",'Data Tables'!AG20,'Data Tables'!AH20)))))))))),IF($K$14="550-575",IF($K$15="Yes",'Data Tables'!W20,'Data Tables'!X20),IF($K$14="575-600",IF($K$15="Yes",'Data Tables'!W20,'Data Tables'!X20),IF($K$14="600-625",IF($K$15="Yes",'Data Tables'!AC20,'Data Tables'!AD20),IF($K$14="625-650",IF($K$15="Yes",'Data Tables'!AC20,'Data Tables'!AD20),IF($K$14="650-675",IF($K$15="Yes",'Data Tables'!AC20,'Data Tables'!AD20),IF($K$14="675-700",IF($K$15="Yes",'Data Tables'!AC20,'Data Tables'!AD20),IF($K$14="700-750",IF($K$15="Yes",'Data Tables'!AI20,'Data Tables'!AJ20),IF($K$14="750-800",IF($K$15="Yes",'Data Tables'!AI20,'Data Tables'!AJ20),IF($K$14="800-850",IF($K$15="Yes",'Data Tables'!AI20,'Data Tables'!AJ20),IF($K$15="Yes",'Data Tables'!AI20,'Data Tables'!AJ20)))))))))))))),($K31*(IF($K$13="Freely draining",IF($K$14="550-575",IF($K$15="Yes",'Data Tables'!S31,'Data Tables'!T31),IF($K$14="575-600",IF($K$15="Yes",'Data Tables'!S31,'Data Tables'!T31),IF($K$14="600-625",IF($K$15="Yes",'Data Tables'!Y31,'Data Tables'!Z31),IF($K$14="625-650",IF($K$15="Yes",'Data Tables'!Y31,'Data Tables'!Z31),IF($K$14="650-675",IF($K$15="Yes",'Data Tables'!Y31,'Data Tables'!Z31),IF($K$14="675-700",IF($K$15="Yes",'Data Tables'!Y31,'Data Tables'!Z31),IF($K$14="700-750",IF($K$15="Yes",'Data Tables'!AE31,'Data Tables'!AF31),IF($K$14="750-800",IF($K$15="Yes",'Data Tables'!AE31,'Data Tables'!AF31),IF($K$14="800-850",IF($K$15="Yes",'Data Tables'!AE31,'Data Tables'!AF31),IF($K$15="Yes",'Data Tables'!AE31,'Data Tables'!AF31)))))))))),IF($K$13="Impermeable - drained for arable",IF($K$14="550-575",IF($K$15="Yes",'Data Tables'!U31,'Data Tables'!V31),IF($K$14="575-600",IF($K$15="Yes",'Data Tables'!U31,'Data Tables'!V31),IF($K$14="600-625",IF($K$15="Yes",'Data Tables'!AA31,'Data Tables'!AB31),IF($K$14="625-650",IF($K$15="Yes",'Data Tables'!AA31,'Data Tables'!AB31),IF($K$14="650-675",IF($K$15="Yes",'Data Tables'!AA31,'Data Tables'!AB31),IF($K$14="675-700",IF($K$15="Yes",'Data Tables'!AA31,'Data Tables'!AB31),IF($K$14="700-750",IF($K$15="Yes",'Data Tables'!AG31,'Data Tables'!AH31),IF($K$14="750-800",IF($K$15="Yes",'Data Tables'!AG31,'Data Tables'!AH31),IF($K$14="800-850",IF($K$15="Yes",'Data Tables'!AG31,'Data Tables'!AH31),IF($K$15="Yes",'Data Tables'!AG31,'Data Tables'!AH31)))))))))),IF($K$14="550-575",IF($K$15="Yes",'Data Tables'!W31,'Data Tables'!X31),IF($K$14="575-600",IF($K$15="Yes",'Data Tables'!W31,'Data Tables'!X31),IF($K$14="600-625",IF($K$15="Yes",'Data Tables'!AC31,'Data Tables'!AD31),IF($K$14="625-650",IF($K$15="Yes",'Data Tables'!AC31,'Data Tables'!AD31),IF($K$14="650-675",IF($K$15="Yes",'Data Tables'!AC31,'Data Tables'!AD31),IF($K$14="675-700",IF($K$15="Yes",'Data Tables'!AC31,'Data Tables'!AD31),IF($K$14="700-750",IF($K$15="Yes",'Data Tables'!AI31,'Data Tables'!AJ31),IF($K$14="750-800",IF($K$15="Yes",'Data Tables'!AI31,'Data Tables'!AJ31),IF($K$14="800-850",IF($K$15="Yes",'Data Tables'!AI31,'Data Tables'!AJ31),IF($K$15="Yes",'Data Tables'!AI31,'Data Tables'!AJ31))))))))))))))))</f>
        <v>0</v>
      </c>
      <c r="P31" s="278"/>
      <c r="Q31" s="281">
        <f>IF($K$12="Wensum",($K31*(IF($K$13="Freely draining",IF($K$14="550-575",IF($K$15="Yes",'Data Tables'!AM9,'Data Tables'!AN9),IF($K$14="575-600",IF($K$15="Yes",'Data Tables'!AM9,'Data Tables'!AN9),IF($K$14="600-625",IF($K$15="Yes",'Data Tables'!AS9,'Data Tables'!AT9),IF($K$14="625-650",IF($K$15="Yes",'Data Tables'!AS9,'Data Tables'!AT9),IF($K$14="650-675",IF($K$15="Yes",'Data Tables'!AS9,'Data Tables'!AT9),IF($K$14="675-700",IF($K$15="Yes",'Data Tables'!AS9,'Data Tables'!AT9),IF($K$14="700-750",IF($K$15="Yes",'Data Tables'!AY9,'Data Tables'!AZ9),IF($K$14="750-800",IF($K$15="Yes",'Data Tables'!AY9,'Data Tables'!AZ9),IF($K$14="800-850",IF($K$15="Yes",'Data Tables'!AY9,'Data Tables'!AZ9),IF($K$15="Yes",'Data Tables'!AS9,'Data Tables'!AT9)))))))))),IF($K$13="Impermeable - drained for arable",IF($K$14="550-575",IF($K$15="Yes",'Data Tables'!AO9,'Data Tables'!AP9),IF($K$14="575-600",IF($K$15="Yes",'Data Tables'!AO9,'Data Tables'!AP9),IF($K$14="600-625",IF($K$15="Yes",'Data Tables'!AU9,'Data Tables'!AV9),IF($K$14="625-650",IF($K$15="Yes",'Data Tables'!AU9,'Data Tables'!AV9),IF($K$14="650-675",IF($K$15="Yes",'Data Tables'!AU9,'Data Tables'!AV9),IF($K$14="675-700",IF($K$15="Yes",'Data Tables'!AU9,'Data Tables'!AV9),IF($K$14="700-750",IF($K$15="Yes",'Data Tables'!BA9,'Data Tables'!BB9),IF($K$14="750-800",IF($K$15="Yes",'Data Tables'!BA9,'Data Tables'!BB9),IF($K$14="800-850",IF($K$15="Yes",'Data Tables'!BA9,'Data Tables'!BB9),IF($K$15="Yes",'Data Tables'!BA9,'Data Tables'!BB9)))))))))),IF($K$14="550-575",IF($K$15="Yes",'Data Tables'!AQ9,'Data Tables'!AR9),IF($K$14="575-600",IF($K$15="Yes",'Data Tables'!AQ9,'Data Tables'!AR9),IF($K$14="600-625",IF($K$15="Yes",'Data Tables'!AW9,'Data Tables'!AX9),IF($K$14="625-650",IF($K$15="Yes",'Data Tables'!AW9,'Data Tables'!AX9),IF($K$14="650-675",IF($K$15="Yes",'Data Tables'!AW9,'Data Tables'!AX9),IF($K$14="675-700",IF($K$15="Yes",'Data Tables'!AW9,'Data Tables'!AX9),IF($K$14="700-750",IF($K$15="Yes",'Data Tables'!BC9,'Data Tables'!BD9),IF($K$14="750-800",IF($K$15="Yes",'Data Tables'!BC9,'Data Tables'!BD9),IF($K$14="800-850",IF($K$15="Yes",'Data Tables'!BC9,'Data Tables'!BD9),IF($K$15="Yes",'Data Tables'!BC9,'Data Tables'!BD9)))))))))))))),IF($K$12="Yare",($K31*(IF($K$13="Freely draining",IF($K$14="550-575",IF($K$15="Yes",'Data Tables'!AM20,'Data Tables'!AN20),IF($K$14="575-600",IF($K$15="Yes",'Data Tables'!AM20,'Data Tables'!AN20),IF($K$14="600-625",IF($K$15="Yes",'Data Tables'!AS20,'Data Tables'!AT20),IF($K$14="625-650",IF($K$15="Yes",'Data Tables'!AS20,'Data Tables'!AT20),IF($K$14="650-675",IF($K$15="Yes",'Data Tables'!AS20,'Data Tables'!AT20),IF($K$14="675-700",IF($K$15="Yes",'Data Tables'!AS20,'Data Tables'!AT20),IF($K$14="700-750",IF($K$15="Yes",'Data Tables'!AY20,'Data Tables'!AZ20),IF($K$14="750-800",IF($K$15="Yes",'Data Tables'!AY20,'Data Tables'!AZ20),IF($K$14="800-850",IF($K$15="Yes",'Data Tables'!AY20,'Data Tables'!AZ20),IF($K$15="Yes",'Data Tables'!AY20,'Data Tables'!AZ20)))))))))),IF($K$13="Impermeable - drained for arable",IF($K$14="550-575",IF($K$15="Yes",'Data Tables'!AO20,'Data Tables'!AP20),IF($K$14="575-600",IF($K$15="Yes",'Data Tables'!AO20,'Data Tables'!AP20),IF($K$14="600-625",IF($K$15="Yes",'Data Tables'!AU20,'Data Tables'!AV20),IF($K$14="625-650",IF($K$15="Yes",'Data Tables'!AU20,'Data Tables'!AV20),IF($K$14="650-675",IF($K$15="Yes",'Data Tables'!AU20,'Data Tables'!AV20),IF($K$14="675-700",IF($K$15="Yes",'Data Tables'!AU20,'Data Tables'!AV20),IF($K$14="700-750",IF($K$15="Yes",'Data Tables'!BA20,'Data Tables'!BB20),IF($K$14="750-800",IF($K$15="Yes",'Data Tables'!BA20,'Data Tables'!BB20),IF($K$14="800-850",IF($K$15="Yes",'Data Tables'!BA20,'Data Tables'!BB20),IF($K$15="Yes",'Data Tables'!BA20,'Data Tables'!BB20)))))))))),IF($K$14="550-575",IF($K$15="Yes",'Data Tables'!AQ20,'Data Tables'!AR20),IF($K$14="575-600",IF($K$15="Yes",'Data Tables'!AQ20,'Data Tables'!AR20),IF($K$14="600-625",IF($K$15="Yes",'Data Tables'!AW20,'Data Tables'!AX20),IF($K$14="625-650",IF($K$15="Yes",'Data Tables'!AW20,'Data Tables'!AX20),IF($K$14="650-675",IF($K$15="Yes",'Data Tables'!AW20,'Data Tables'!AX20),IF($K$14="675-700",IF($K$15="Yes",'Data Tables'!AW20,'Data Tables'!AX20),IF($K$14="700-750",IF($K$15="Yes",'Data Tables'!BC20,'Data Tables'!BD20),IF($K$14="750-800",IF($K$15="Yes",'Data Tables'!BC20,'Data Tables'!BD20),IF($K$14="800-850",IF($K$15="Yes",'Data Tables'!BC20,'Data Tables'!BD20),IF($K$15="Yes",'Data Tables'!BC20,'Data Tables'!BD20)))))))))))))),($K31*(IF($K$13="Freely draining",IF($K$14="550-575",IF($K$15="Yes",'Data Tables'!AM31,'Data Tables'!AN31),IF($K$14="575-600",IF($K$15="Yes",'Data Tables'!AM31,'Data Tables'!AN31),IF($K$14="600-625",IF($K$15="Yes",'Data Tables'!AS31,'Data Tables'!AT31),IF($K$14="625-650",IF($K$15="Yes",'Data Tables'!AS31,'Data Tables'!AT31),IF($K$14="650-675",IF($K$15="Yes",'Data Tables'!AS31,'Data Tables'!AT31),IF($K$14="675-700",IF($K$15="Yes",'Data Tables'!AS31,'Data Tables'!AT31),IF($K$14="700-750",IF($K$15="Yes",'Data Tables'!AY31,'Data Tables'!AZ31),IF($K$14="750-800",IF($K$15="Yes",'Data Tables'!AY31,'Data Tables'!AZ31),IF($K$14="800-850",IF($K$15="Yes",'Data Tables'!AY31,'Data Tables'!AZ31),IF($K$15="Yes",'Data Tables'!AY31,'Data Tables'!AZ31)))))))))),IF($K$13="Impermeable - drained for arable",IF($K$14="550-575",IF($K$15="Yes",'Data Tables'!AO31,'Data Tables'!AP31),IF($K$14="575-600",IF($K$15="Yes",'Data Tables'!AO31,'Data Tables'!AP31),IF($K$14="600-625",IF($K$15="Yes",'Data Tables'!AU31,'Data Tables'!AV31),IF($K$14="625-650",IF($K$15="Yes",'Data Tables'!AU31,'Data Tables'!AV31),IF($K$14="650-675",IF($K$15="Yes",'Data Tables'!AU31,'Data Tables'!AV31),IF($K$14="675-700",IF($K$15="Yes",'Data Tables'!AU31,'Data Tables'!AV31),IF($K$14="700-750",IF($K$15="Yes",'Data Tables'!BA31,'Data Tables'!BB31),IF($K$14="750-800",IF($K$15="Yes",'Data Tables'!BA31,'Data Tables'!BB31),IF($K$14="800-850",IF($K$15="Yes",'Data Tables'!BA31,'Data Tables'!BB31),IF($K$15="Yes",'Data Tables'!BA31,'Data Tables'!BB31)))))))))),IF($K$14="550-575",IF($K$15="Yes",'Data Tables'!AQ31,'Data Tables'!AR31),IF($K$14="575-600",IF($K$15="Yes",'Data Tables'!AQ31,'Data Tables'!AR31),IF($K$14="600-625",IF($K$15="Yes",'Data Tables'!AW31,'Data Tables'!AX31),IF($K$14="625-650",IF($K$15="Yes",'Data Tables'!AW31,'Data Tables'!AX31),IF($K$14="650-675",IF($K$15="Yes",'Data Tables'!AW31,'Data Tables'!AX31),IF($K$14="675-700",IF($K$15="Yes",'Data Tables'!AW31,'Data Tables'!AX31),IF($K$14="700-750",IF($K$15="Yes",'Data Tables'!BC31,'Data Tables'!BD31),IF($K$14="750-800",IF($K$15="Yes",'Data Tables'!BC31,'Data Tables'!BD31),IF($K$14="800-850",IF($K$15="Yes",'Data Tables'!BC31,'Data Tables'!BD31),IF($K$15="Yes",'Data Tables'!BC31,'Data Tables'!BD31))))))))))))))))</f>
        <v>0</v>
      </c>
      <c r="R31" s="282"/>
      <c r="S31" s="49" t="s">
        <v>324</v>
      </c>
      <c r="T31" s="6"/>
      <c r="W31" s="110"/>
      <c r="X31" s="110"/>
      <c r="Y31" s="110"/>
      <c r="Z31" s="110"/>
      <c r="AA31" s="110"/>
      <c r="AB31" s="110"/>
      <c r="AC31" s="110"/>
      <c r="AD31" s="110"/>
      <c r="AE31" s="110"/>
      <c r="AF31" s="110"/>
      <c r="AG31" s="110"/>
      <c r="AH31" s="110"/>
      <c r="AI31" s="110"/>
      <c r="AJ31" s="110"/>
      <c r="AK31" s="110"/>
      <c r="AL31" s="110"/>
      <c r="AM31" s="110"/>
      <c r="AN31" s="110"/>
      <c r="AO31" s="110"/>
      <c r="AQ31" s="110"/>
      <c r="AR31" s="110"/>
      <c r="AS31" s="110"/>
      <c r="AT31" s="110"/>
      <c r="AU31" s="110"/>
      <c r="AV31" s="110"/>
      <c r="AW31" s="110"/>
      <c r="AX31" s="110"/>
      <c r="AY31" s="110"/>
      <c r="AZ31" s="110"/>
      <c r="BA31" s="110"/>
      <c r="BB31" s="110"/>
      <c r="BC31" s="110"/>
    </row>
    <row r="32" spans="2:55" ht="14.7" customHeight="1">
      <c r="B32" s="4"/>
      <c r="C32" s="42"/>
      <c r="D32" s="222"/>
      <c r="E32" s="49"/>
      <c r="F32" s="435" t="s">
        <v>59</v>
      </c>
      <c r="G32" s="435"/>
      <c r="H32" s="435"/>
      <c r="I32" s="435"/>
      <c r="J32" s="435"/>
      <c r="K32" s="276"/>
      <c r="L32" s="235" t="s">
        <v>323</v>
      </c>
      <c r="M32" s="49"/>
      <c r="N32" s="49"/>
      <c r="O32" s="281">
        <f>IF($K$12="Wensum",($K32*(IF($K$13="Freely draining",IF($K$14="550-575",IF($K$15="Yes",'Data Tables'!S10,'Data Tables'!T10),IF($K$14="575-600",IF($K$15="Yes",'Data Tables'!S10,'Data Tables'!T10),IF($K$14="600-625",IF($K$15="Yes",'Data Tables'!Y10,'Data Tables'!Z10),IF($K$14="625-650",IF($K$15="Yes",'Data Tables'!Y10,'Data Tables'!Z10),IF($K$14="650-675",IF($K$15="Yes",'Data Tables'!Y10,'Data Tables'!Z10),IF($K$14="675-700",IF($K$15="Yes",'Data Tables'!Y10,'Data Tables'!Z10),IF($K$14="700-750",IF($K$15="Yes",'Data Tables'!AE10,'Data Tables'!AF10),IF($K$14="750-800",IF($K$15="Yes",'Data Tables'!AE10,'Data Tables'!AF10),IF($K$14="800-850",IF($K$15="Yes",'Data Tables'!AE10,'Data Tables'!AF10),IF($K$15="Yes",'Data Tables'!Y10,'Data Tables'!Z10)))))))))),IF($K$13="Impermeable - drained for arable",IF($K$14="550-575",IF($K$15="Yes",'Data Tables'!U10,'Data Tables'!V10),IF($K$14="575-600",IF($K$15="Yes",'Data Tables'!U10,'Data Tables'!V10),IF($K$14="600-625",IF($K$15="Yes",'Data Tables'!AA10,'Data Tables'!AB10),IF($K$14="625-650",IF($K$15="Yes",'Data Tables'!AA10,'Data Tables'!AB10),IF($K$14="650-675",IF($K$15="Yes",'Data Tables'!AA10,'Data Tables'!AB10),IF($K$14="675-700",IF($K$15="Yes",'Data Tables'!AA10,'Data Tables'!AB10),IF($K$14="700-750",IF($K$15="Yes",'Data Tables'!AG10,'Data Tables'!AH10),IF($K$14="750-800",IF($K$15="Yes",'Data Tables'!AG10,'Data Tables'!AH10),IF($K$14="800-850",IF($K$15="Yes",'Data Tables'!AG10,'Data Tables'!AH10),IF($K$15="Yes",'Data Tables'!AG10,'Data Tables'!AH10)))))))))),IF($K$14="550-575",IF($K$15="Yes",'Data Tables'!W10,'Data Tables'!X10),IF($K$14="575-600",IF($K$15="Yes",'Data Tables'!W10,'Data Tables'!X10),IF($K$14="600-625",IF($K$15="Yes",'Data Tables'!AC10,'Data Tables'!AD10),IF($K$14="625-650",IF($K$15="Yes",'Data Tables'!AC10,'Data Tables'!AD10),IF($K$14="650-675",IF($K$15="Yes",'Data Tables'!AC10,'Data Tables'!AD10),IF($K$14="675-700",IF($K$15="Yes",'Data Tables'!AC10,'Data Tables'!AD10),IF($K$14="700-750",IF($K$15="Yes",'Data Tables'!AI10,'Data Tables'!AJ10),IF($K$14="750-800",IF($K$15="Yes",'Data Tables'!AI10,'Data Tables'!AJ10),IF($K$14="800-850",IF($K$15="Yes",'Data Tables'!AI10,'Data Tables'!AJ10),IF($K$15="Yes",'Data Tables'!AI10,'Data Tables'!AJ10)))))))))))))),IF($K$12="Yare",($K32*(IF($K$13="Freely draining",IF($K$14="550-575",IF($K$15="Yes",'Data Tables'!S21,'Data Tables'!T21),IF($K$14="575-600",IF($K$15="Yes",'Data Tables'!S21,'Data Tables'!T21),IF($K$14="600-625",IF($K$15="Yes",'Data Tables'!Y21,'Data Tables'!Z21),IF($K$14="625-650",IF($K$15="Yes",'Data Tables'!Y21,'Data Tables'!Z21),IF($K$14="650-675",IF($K$15="Yes",'Data Tables'!Y21,'Data Tables'!Z21),IF($K$14="675-700",IF($K$15="Yes",'Data Tables'!Y21,'Data Tables'!Z21),IF($K$14="700-750",IF($K$15="Yes",'Data Tables'!AE21,'Data Tables'!AF21),IF($K$14="750-800",IF($K$15="Yes",'Data Tables'!AE21,'Data Tables'!AF21),IF($K$14="800-850",IF($K$15="Yes",'Data Tables'!AE21,'Data Tables'!AF21),IF($K$15="Yes",'Data Tables'!AE21,'Data Tables'!AF21)))))))))),IF($K$13="Impermeable - drained for arable",IF($K$14="550-575",IF($K$15="Yes",'Data Tables'!U21,'Data Tables'!V21),IF($K$14="575-600",IF($K$15="Yes",'Data Tables'!U21,'Data Tables'!V21),IF($K$14="600-625",IF($K$15="Yes",'Data Tables'!AA21,'Data Tables'!AB21),IF($K$14="625-650",IF($K$15="Yes",'Data Tables'!AA21,'Data Tables'!AB21),IF($K$14="650-675",IF($K$15="Yes",'Data Tables'!AA21,'Data Tables'!AB21),IF($K$14="675-700",IF($K$15="Yes",'Data Tables'!AA21,'Data Tables'!AB21),IF($K$14="700-750",IF($K$15="Yes",'Data Tables'!AG21,'Data Tables'!AH21),IF($K$14="750-800",IF($K$15="Yes",'Data Tables'!AG21,'Data Tables'!AH21),IF($K$14="800-850",IF($K$15="Yes",'Data Tables'!AG21,'Data Tables'!AH21),IF($K$15="Yes",'Data Tables'!AG21,'Data Tables'!AH21)))))))))),IF($K$14="550-575",IF($K$15="Yes",'Data Tables'!W21,'Data Tables'!X21),IF($K$14="575-600",IF($K$15="Yes",'Data Tables'!W21,'Data Tables'!X21),IF($K$14="600-625",IF($K$15="Yes",'Data Tables'!AC21,'Data Tables'!AD21),IF($K$14="625-650",IF($K$15="Yes",'Data Tables'!AC21,'Data Tables'!AD21),IF($K$14="650-675",IF($K$15="Yes",'Data Tables'!AC21,'Data Tables'!AD21),IF($K$14="675-700",IF($K$15="Yes",'Data Tables'!AC21,'Data Tables'!AD21),IF($K$14="700-750",IF($K$15="Yes",'Data Tables'!AI21,'Data Tables'!AJ21),IF($K$14="750-800",IF($K$15="Yes",'Data Tables'!AI21,'Data Tables'!AJ21),IF($K$14="800-850",IF($K$15="Yes",'Data Tables'!AI21,'Data Tables'!AJ21),IF($K$15="Yes",'Data Tables'!AI21,'Data Tables'!AJ21)))))))))))))),($K32*(IF($K$13="Freely draining",IF($K$14="550-575",IF($K$15="Yes",'Data Tables'!S32,'Data Tables'!T32),IF($K$14="575-600",IF($K$15="Yes",'Data Tables'!S32,'Data Tables'!T32),IF($K$14="600-625",IF($K$15="Yes",'Data Tables'!Y32,'Data Tables'!Z32),IF($K$14="625-650",IF($K$15="Yes",'Data Tables'!Y32,'Data Tables'!Z32),IF($K$14="650-675",IF($K$15="Yes",'Data Tables'!Y32,'Data Tables'!Z32),IF($K$14="675-700",IF($K$15="Yes",'Data Tables'!Y32,'Data Tables'!Z32),IF($K$14="700-750",IF($K$15="Yes",'Data Tables'!AE32,'Data Tables'!AF32),IF($K$14="750-800",IF($K$15="Yes",'Data Tables'!AE32,'Data Tables'!AF32),IF($K$14="800-850",IF($K$15="Yes",'Data Tables'!AE32,'Data Tables'!AF32),IF($K$15="Yes",'Data Tables'!AE32,'Data Tables'!AF32)))))))))),IF($K$13="Impermeable - drained for arable",IF($K$14="550-575",IF($K$15="Yes",'Data Tables'!U32,'Data Tables'!V32),IF($K$14="575-600",IF($K$15="Yes",'Data Tables'!U32,'Data Tables'!V32),IF($K$14="600-625",IF($K$15="Yes",'Data Tables'!AA32,'Data Tables'!AB32),IF($K$14="625-650",IF($K$15="Yes",'Data Tables'!AA32,'Data Tables'!AB32),IF($K$14="650-675",IF($K$15="Yes",'Data Tables'!AA32,'Data Tables'!AB32),IF($K$14="675-700",IF($K$15="Yes",'Data Tables'!AA32,'Data Tables'!AB32),IF($K$14="700-750",IF($K$15="Yes",'Data Tables'!AG32,'Data Tables'!AH32),IF($K$14="750-800",IF($K$15="Yes",'Data Tables'!AG32,'Data Tables'!AH32),IF($K$14="800-850",IF($K$15="Yes",'Data Tables'!AG32,'Data Tables'!AH32),IF($K$15="Yes",'Data Tables'!AG32,'Data Tables'!AH32)))))))))),IF($K$14="550-575",IF($K$15="Yes",'Data Tables'!W32,'Data Tables'!X32),IF($K$14="575-600",IF($K$15="Yes",'Data Tables'!W32,'Data Tables'!X32),IF($K$14="600-625",IF($K$15="Yes",'Data Tables'!AC32,'Data Tables'!AD32),IF($K$14="625-650",IF($K$15="Yes",'Data Tables'!AC32,'Data Tables'!AD32),IF($K$14="650-675",IF($K$15="Yes",'Data Tables'!AC32,'Data Tables'!AD32),IF($K$14="675-700",IF($K$15="Yes",'Data Tables'!AC32,'Data Tables'!AD32),IF($K$14="700-750",IF($K$15="Yes",'Data Tables'!AI32,'Data Tables'!AJ32),IF($K$14="750-800",IF($K$15="Yes",'Data Tables'!AI32,'Data Tables'!AJ32),IF($K$14="800-850",IF($K$15="Yes",'Data Tables'!AI32,'Data Tables'!AJ32),IF($K$15="Yes",'Data Tables'!AI32,'Data Tables'!AJ32))))))))))))))))</f>
        <v>0</v>
      </c>
      <c r="P32" s="278"/>
      <c r="Q32" s="281">
        <f>IF($K$12="Wensum",($K32*(IF($K$13="Freely draining",IF($K$14="550-575",IF($K$15="Yes",'Data Tables'!AM10,'Data Tables'!AN10),IF($K$14="575-600",IF($K$15="Yes",'Data Tables'!AM10,'Data Tables'!AN10),IF($K$14="600-625",IF($K$15="Yes",'Data Tables'!AS10,'Data Tables'!AT10),IF($K$14="625-650",IF($K$15="Yes",'Data Tables'!AS10,'Data Tables'!AT10),IF($K$14="650-675",IF($K$15="Yes",'Data Tables'!AS10,'Data Tables'!AT10),IF($K$14="675-700",IF($K$15="Yes",'Data Tables'!AS10,'Data Tables'!AT10),IF($K$14="700-750",IF($K$15="Yes",'Data Tables'!AY10,'Data Tables'!AZ10),IF($K$14="750-800",IF($K$15="Yes",'Data Tables'!AY10,'Data Tables'!AZ10),IF($K$14="800-850",IF($K$15="Yes",'Data Tables'!AY10,'Data Tables'!AZ10),IF($K$15="Yes",'Data Tables'!AS10,'Data Tables'!AT10)))))))))),IF($K$13="Impermeable - drained for arable",IF($K$14="550-575",IF($K$15="Yes",'Data Tables'!AO10,'Data Tables'!AP10),IF($K$14="575-600",IF($K$15="Yes",'Data Tables'!AO10,'Data Tables'!AP10),IF($K$14="600-625",IF($K$15="Yes",'Data Tables'!AU10,'Data Tables'!AV10),IF($K$14="625-650",IF($K$15="Yes",'Data Tables'!AU10,'Data Tables'!AV10),IF($K$14="650-675",IF($K$15="Yes",'Data Tables'!AU10,'Data Tables'!AV10),IF($K$14="675-700",IF($K$15="Yes",'Data Tables'!AU10,'Data Tables'!AV10),IF($K$14="700-750",IF($K$15="Yes",'Data Tables'!BA10,'Data Tables'!BB10),IF($K$14="750-800",IF($K$15="Yes",'Data Tables'!BA10,'Data Tables'!BB10),IF($K$14="800-850",IF($K$15="Yes",'Data Tables'!BA10,'Data Tables'!BB10),IF($K$15="Yes",'Data Tables'!BA10,'Data Tables'!BB10)))))))))),IF($K$14="550-575",IF($K$15="Yes",'Data Tables'!AQ10,'Data Tables'!AR10),IF($K$14="575-600",IF($K$15="Yes",'Data Tables'!AQ10,'Data Tables'!AR10),IF($K$14="600-625",IF($K$15="Yes",'Data Tables'!AW10,'Data Tables'!AX10),IF($K$14="625-650",IF($K$15="Yes",'Data Tables'!AW10,'Data Tables'!AX10),IF($K$14="650-675",IF($K$15="Yes",'Data Tables'!AW10,'Data Tables'!AX10),IF($K$14="675-700",IF($K$15="Yes",'Data Tables'!AW10,'Data Tables'!AX10),IF($K$14="700-750",IF($K$15="Yes",'Data Tables'!BC10,'Data Tables'!BD10),IF($K$14="750-800",IF($K$15="Yes",'Data Tables'!BC10,'Data Tables'!BD10),IF($K$14="800-850",IF($K$15="Yes",'Data Tables'!BC10,'Data Tables'!BD10),IF($K$15="Yes",'Data Tables'!BC10,'Data Tables'!BD10)))))))))))))),IF($K$12="Yare",($K32*(IF($K$13="Freely draining",IF($K$14="550-575",IF($K$15="Yes",'Data Tables'!AM21,'Data Tables'!AN21),IF($K$14="575-600",IF($K$15="Yes",'Data Tables'!AM21,'Data Tables'!AN21),IF($K$14="600-625",IF($K$15="Yes",'Data Tables'!AS21,'Data Tables'!AT21),IF($K$14="625-650",IF($K$15="Yes",'Data Tables'!AS21,'Data Tables'!AT21),IF($K$14="650-675",IF($K$15="Yes",'Data Tables'!AS21,'Data Tables'!AT21),IF($K$14="675-700",IF($K$15="Yes",'Data Tables'!AS21,'Data Tables'!AT21),IF($K$14="700-750",IF($K$15="Yes",'Data Tables'!AY21,'Data Tables'!AZ21),IF($K$14="750-800",IF($K$15="Yes",'Data Tables'!AY21,'Data Tables'!AZ21),IF($K$14="800-850",IF($K$15="Yes",'Data Tables'!AY21,'Data Tables'!AZ21),IF($K$15="Yes",'Data Tables'!AY21,'Data Tables'!AZ21)))))))))),IF($K$13="Impermeable - drained for arable",IF($K$14="550-575",IF($K$15="Yes",'Data Tables'!AO21,'Data Tables'!AP21),IF($K$14="575-600",IF($K$15="Yes",'Data Tables'!AO21,'Data Tables'!AP21),IF($K$14="600-625",IF($K$15="Yes",'Data Tables'!AU21,'Data Tables'!AV21),IF($K$14="625-650",IF($K$15="Yes",'Data Tables'!AU21,'Data Tables'!AV21),IF($K$14="650-675",IF($K$15="Yes",'Data Tables'!AU21,'Data Tables'!AV21),IF($K$14="675-700",IF($K$15="Yes",'Data Tables'!AU21,'Data Tables'!AV21),IF($K$14="700-750",IF($K$15="Yes",'Data Tables'!BA21,'Data Tables'!BB21),IF($K$14="750-800",IF($K$15="Yes",'Data Tables'!BA21,'Data Tables'!BB21),IF($K$14="800-850",IF($K$15="Yes",'Data Tables'!BA21,'Data Tables'!BB21),IF($K$15="Yes",'Data Tables'!BA21,'Data Tables'!BB21)))))))))),IF($K$14="550-575",IF($K$15="Yes",'Data Tables'!AQ21,'Data Tables'!AR21),IF($K$14="575-600",IF($K$15="Yes",'Data Tables'!AQ21,'Data Tables'!AR21),IF($K$14="600-625",IF($K$15="Yes",'Data Tables'!AW21,'Data Tables'!AX21),IF($K$14="625-650",IF($K$15="Yes",'Data Tables'!AW21,'Data Tables'!AX21),IF($K$14="650-675",IF($K$15="Yes",'Data Tables'!AW21,'Data Tables'!AX21),IF($K$14="675-700",IF($K$15="Yes",'Data Tables'!AW21,'Data Tables'!AX21),IF($K$14="700-750",IF($K$15="Yes",'Data Tables'!BC21,'Data Tables'!BD21),IF($K$14="750-800",IF($K$15="Yes",'Data Tables'!BC21,'Data Tables'!BD21),IF($K$14="800-850",IF($K$15="Yes",'Data Tables'!BC21,'Data Tables'!BD21),IF($K$15="Yes",'Data Tables'!BC21,'Data Tables'!BD21)))))))))))))),($K32*(IF($K$13="Freely draining",IF($K$14="550-575",IF($K$15="Yes",'Data Tables'!AM32,'Data Tables'!AN32),IF($K$14="575-600",IF($K$15="Yes",'Data Tables'!AM32,'Data Tables'!AN32),IF($K$14="600-625",IF($K$15="Yes",'Data Tables'!AS32,'Data Tables'!AT32),IF($K$14="625-650",IF($K$15="Yes",'Data Tables'!AS32,'Data Tables'!AT32),IF($K$14="650-675",IF($K$15="Yes",'Data Tables'!AS32,'Data Tables'!AT32),IF($K$14="675-700",IF($K$15="Yes",'Data Tables'!AS32,'Data Tables'!AT32),IF($K$14="700-750",IF($K$15="Yes",'Data Tables'!AY32,'Data Tables'!AZ32),IF($K$14="750-800",IF($K$15="Yes",'Data Tables'!AY32,'Data Tables'!AZ32),IF($K$14="800-850",IF($K$15="Yes",'Data Tables'!AY32,'Data Tables'!AZ32),IF($K$15="Yes",'Data Tables'!AY32,'Data Tables'!AZ32)))))))))),IF($K$13="Impermeable - drained for arable",IF($K$14="550-575",IF($K$15="Yes",'Data Tables'!AO32,'Data Tables'!AP32),IF($K$14="575-600",IF($K$15="Yes",'Data Tables'!AO32,'Data Tables'!AP32),IF($K$14="600-625",IF($K$15="Yes",'Data Tables'!AU32,'Data Tables'!AV32),IF($K$14="625-650",IF($K$15="Yes",'Data Tables'!AU32,'Data Tables'!AV32),IF($K$14="650-675",IF($K$15="Yes",'Data Tables'!AU32,'Data Tables'!AV32),IF($K$14="675-700",IF($K$15="Yes",'Data Tables'!AU32,'Data Tables'!AV32),IF($K$14="700-750",IF($K$15="Yes",'Data Tables'!BA32,'Data Tables'!BB32),IF($K$14="750-800",IF($K$15="Yes",'Data Tables'!BA32,'Data Tables'!BB32),IF($K$14="800-850",IF($K$15="Yes",'Data Tables'!BA32,'Data Tables'!BB32),IF($K$15="Yes",'Data Tables'!BA32,'Data Tables'!BB32)))))))))),IF($K$14="550-575",IF($K$15="Yes",'Data Tables'!AQ32,'Data Tables'!AR32),IF($K$14="575-600",IF($K$15="Yes",'Data Tables'!AQ32,'Data Tables'!AR32),IF($K$14="600-625",IF($K$15="Yes",'Data Tables'!AW32,'Data Tables'!AX32),IF($K$14="625-650",IF($K$15="Yes",'Data Tables'!AW32,'Data Tables'!AX32),IF($K$14="650-675",IF($K$15="Yes",'Data Tables'!AW32,'Data Tables'!AX32),IF($K$14="675-700",IF($K$15="Yes",'Data Tables'!AW32,'Data Tables'!AX32),IF($K$14="700-750",IF($K$15="Yes",'Data Tables'!BC32,'Data Tables'!BD32),IF($K$14="750-800",IF($K$15="Yes",'Data Tables'!BC32,'Data Tables'!BD32),IF($K$14="800-850",IF($K$15="Yes",'Data Tables'!BC32,'Data Tables'!BD32),IF($K$15="Yes",'Data Tables'!BC32,'Data Tables'!BD32))))))))))))))))</f>
        <v>0</v>
      </c>
      <c r="R32" s="282"/>
      <c r="S32" s="49" t="s">
        <v>324</v>
      </c>
      <c r="T32" s="6"/>
      <c r="W32" s="110"/>
      <c r="X32" s="110"/>
      <c r="Y32" s="110"/>
      <c r="Z32" s="110"/>
      <c r="AA32" s="110"/>
      <c r="AB32" s="110"/>
      <c r="AC32" s="110"/>
      <c r="AD32" s="110"/>
      <c r="AE32" s="110"/>
      <c r="AF32" s="110"/>
      <c r="AG32" s="110"/>
      <c r="AH32" s="110"/>
      <c r="AI32" s="110"/>
      <c r="AJ32" s="110"/>
      <c r="AK32" s="110"/>
      <c r="AL32" s="110"/>
      <c r="AM32" s="110"/>
      <c r="AN32" s="110"/>
      <c r="AO32" s="110"/>
      <c r="AQ32" s="110"/>
      <c r="AR32" s="110"/>
      <c r="AS32" s="110"/>
      <c r="AT32" s="110"/>
      <c r="AU32" s="110"/>
      <c r="AV32" s="110"/>
      <c r="AW32" s="110"/>
      <c r="AX32" s="110"/>
      <c r="AY32" s="110"/>
      <c r="AZ32" s="110"/>
      <c r="BA32" s="110"/>
      <c r="BB32" s="110"/>
      <c r="BC32" s="110"/>
    </row>
    <row r="33" spans="2:55" ht="14.7" customHeight="1">
      <c r="B33" s="4"/>
      <c r="C33" s="42"/>
      <c r="D33" s="222"/>
      <c r="E33" s="49"/>
      <c r="F33" s="435" t="s">
        <v>57</v>
      </c>
      <c r="G33" s="435"/>
      <c r="H33" s="435"/>
      <c r="I33" s="435"/>
      <c r="J33" s="435"/>
      <c r="K33" s="276"/>
      <c r="L33" s="235" t="s">
        <v>323</v>
      </c>
      <c r="M33" s="49"/>
      <c r="N33" s="49"/>
      <c r="O33" s="281">
        <f>IF($K$12="Wensum",($K33*(IF($K$13="Freely draining",IF($K$14="550-575",IF($K$15="Yes",'Data Tables'!S11,'Data Tables'!T11),IF($K$14="575-600",IF($K$15="Yes",'Data Tables'!S11,'Data Tables'!T11),IF($K$14="600-625",IF($K$15="Yes",'Data Tables'!Y11,'Data Tables'!Z11),IF($K$14="625-650",IF($K$15="Yes",'Data Tables'!Y11,'Data Tables'!Z11),IF($K$14="650-675",IF($K$15="Yes",'Data Tables'!Y11,'Data Tables'!Z11),IF($K$14="675-700",IF($K$15="Yes",'Data Tables'!Y11,'Data Tables'!Z11),IF($K$14="700-750",IF($K$15="Yes",'Data Tables'!AE11,'Data Tables'!AF11),IF($K$14="750-800",IF($K$15="Yes",'Data Tables'!AE11,'Data Tables'!AF11),IF($K$14="800-850",IF($K$15="Yes",'Data Tables'!AE11,'Data Tables'!AF11),IF($K$15="Yes",'Data Tables'!Y11,'Data Tables'!Z11)))))))))),IF($K$13="Impermeable - drained for arable",IF($K$14="550-575",IF($K$15="Yes",'Data Tables'!U11,'Data Tables'!V11),IF($K$14="575-600",IF($K$15="Yes",'Data Tables'!U11,'Data Tables'!V11),IF($K$14="600-625",IF($K$15="Yes",'Data Tables'!AA11,'Data Tables'!AB11),IF($K$14="625-650",IF($K$15="Yes",'Data Tables'!AA11,'Data Tables'!AB11),IF($K$14="650-675",IF($K$15="Yes",'Data Tables'!AA11,'Data Tables'!AB11),IF($K$14="675-700",IF($K$15="Yes",'Data Tables'!AA11,'Data Tables'!AB11),IF($K$14="700-750",IF($K$15="Yes",'Data Tables'!AG11,'Data Tables'!AH11),IF($K$14="750-800",IF($K$15="Yes",'Data Tables'!AG11,'Data Tables'!AH11),IF($K$14="800-850",IF($K$15="Yes",'Data Tables'!AG11,'Data Tables'!AH11),IF($K$15="Yes",'Data Tables'!AG11,'Data Tables'!AH11)))))))))),IF($K$14="550-575",IF($K$15="Yes",'Data Tables'!W11,'Data Tables'!X11),IF($K$14="575-600",IF($K$15="Yes",'Data Tables'!W11,'Data Tables'!X11),IF($K$14="600-625",IF($K$15="Yes",'Data Tables'!AC11,'Data Tables'!AD11),IF($K$14="625-650",IF($K$15="Yes",'Data Tables'!AC11,'Data Tables'!AD11),IF($K$14="650-675",IF($K$15="Yes",'Data Tables'!AC11,'Data Tables'!AD11),IF($K$14="675-700",IF($K$15="Yes",'Data Tables'!AC11,'Data Tables'!AD11),IF($K$14="700-750",IF($K$15="Yes",'Data Tables'!AI11,'Data Tables'!AJ11),IF($K$14="750-800",IF($K$15="Yes",'Data Tables'!AI11,'Data Tables'!AJ11),IF($K$14="800-850",IF($K$15="Yes",'Data Tables'!AI11,'Data Tables'!AJ11),IF($K$15="Yes",'Data Tables'!AI11,'Data Tables'!AJ11)))))))))))))),IF($K$12="Yare",($K33*(IF($K$13="Freely draining",IF($K$14="550-575",IF($K$15="Yes",'Data Tables'!S22,'Data Tables'!T22),IF($K$14="575-600",IF($K$15="Yes",'Data Tables'!S22,'Data Tables'!T22),IF($K$14="600-625",IF($K$15="Yes",'Data Tables'!Y22,'Data Tables'!Z22),IF($K$14="625-650",IF($K$15="Yes",'Data Tables'!Y22,'Data Tables'!Z22),IF($K$14="650-675",IF($K$15="Yes",'Data Tables'!Y22,'Data Tables'!Z22),IF($K$14="675-700",IF($K$15="Yes",'Data Tables'!Y22,'Data Tables'!Z22),IF($K$14="700-750",IF($K$15="Yes",'Data Tables'!AE22,'Data Tables'!AF22),IF($K$14="750-800",IF($K$15="Yes",'Data Tables'!AE22,'Data Tables'!AF22),IF($K$14="800-850",IF($K$15="Yes",'Data Tables'!AE22,'Data Tables'!AF22),IF($K$15="Yes",'Data Tables'!AE22,'Data Tables'!AF22)))))))))),IF($K$13="Impermeable - drained for arable",IF($K$14="550-575",IF($K$15="Yes",'Data Tables'!U22,'Data Tables'!V22),IF($K$14="575-600",IF($K$15="Yes",'Data Tables'!U22,'Data Tables'!V22),IF($K$14="600-625",IF($K$15="Yes",'Data Tables'!AA22,'Data Tables'!AB22),IF($K$14="625-650",IF($K$15="Yes",'Data Tables'!AA22,'Data Tables'!AB22),IF($K$14="650-675",IF($K$15="Yes",'Data Tables'!AA22,'Data Tables'!AB22),IF($K$14="675-700",IF($K$15="Yes",'Data Tables'!AA22,'Data Tables'!AB22),IF($K$14="700-750",IF($K$15="Yes",'Data Tables'!AG22,'Data Tables'!AH22),IF($K$14="750-800",IF($K$15="Yes",'Data Tables'!AG22,'Data Tables'!AH22),IF($K$14="800-850",IF($K$15="Yes",'Data Tables'!AG22,'Data Tables'!AH22),IF($K$15="Yes",'Data Tables'!AG22,'Data Tables'!AH22)))))))))),IF($K$14="550-575",IF($K$15="Yes",'Data Tables'!W22,'Data Tables'!X22),IF($K$14="575-600",IF($K$15="Yes",'Data Tables'!W22,'Data Tables'!X22),IF($K$14="600-625",IF($K$15="Yes",'Data Tables'!AC22,'Data Tables'!AD22),IF($K$14="625-650",IF($K$15="Yes",'Data Tables'!AC22,'Data Tables'!AD22),IF($K$14="650-675",IF($K$15="Yes",'Data Tables'!AC22,'Data Tables'!AD22),IF($K$14="675-700",IF($K$15="Yes",'Data Tables'!AC22,'Data Tables'!AD22),IF($K$14="700-750",IF($K$15="Yes",'Data Tables'!AI22,'Data Tables'!AJ22),IF($K$14="750-800",IF($K$15="Yes",'Data Tables'!AI22,'Data Tables'!AJ22),IF($K$14="800-850",IF($K$15="Yes",'Data Tables'!AI22,'Data Tables'!AJ22),IF($K$15="Yes",'Data Tables'!AI22,'Data Tables'!AJ22)))))))))))))),($K33*(IF($K$13="Freely draining",IF($K$14="550-575",IF($K$15="Yes",'Data Tables'!S33,'Data Tables'!T33),IF($K$14="575-600",IF($K$15="Yes",'Data Tables'!S33,'Data Tables'!T33),IF($K$14="600-625",IF($K$15="Yes",'Data Tables'!Y33,'Data Tables'!Z33),IF($K$14="625-650",IF($K$15="Yes",'Data Tables'!Y33,'Data Tables'!Z33),IF($K$14="650-675",IF($K$15="Yes",'Data Tables'!Y33,'Data Tables'!Z33),IF($K$14="675-700",IF($K$15="Yes",'Data Tables'!Y33,'Data Tables'!Z33),IF($K$14="700-750",IF($K$15="Yes",'Data Tables'!AE33,'Data Tables'!AF33),IF($K$14="750-800",IF($K$15="Yes",'Data Tables'!AE33,'Data Tables'!AF33),IF($K$14="800-850",IF($K$15="Yes",'Data Tables'!AE33,'Data Tables'!AF33),IF($K$15="Yes",'Data Tables'!AE33,'Data Tables'!AF33)))))))))),IF($K$13="Impermeable - drained for arable",IF($K$14="550-575",IF($K$15="Yes",'Data Tables'!U33,'Data Tables'!V33),IF($K$14="575-600",IF($K$15="Yes",'Data Tables'!U33,'Data Tables'!V33),IF($K$14="600-625",IF($K$15="Yes",'Data Tables'!AA33,'Data Tables'!AB33),IF($K$14="625-650",IF($K$15="Yes",'Data Tables'!AA33,'Data Tables'!AB33),IF($K$14="650-675",IF($K$15="Yes",'Data Tables'!AA33,'Data Tables'!AB33),IF($K$14="675-700",IF($K$15="Yes",'Data Tables'!AA33,'Data Tables'!AB33),IF($K$14="700-750",IF($K$15="Yes",'Data Tables'!AG33,'Data Tables'!AH33),IF($K$14="750-800",IF($K$15="Yes",'Data Tables'!AG33,'Data Tables'!AH33),IF($K$14="800-850",IF($K$15="Yes",'Data Tables'!AG33,'Data Tables'!AH33),IF($K$15="Yes",'Data Tables'!AG33,'Data Tables'!AH33)))))))))),IF($K$14="550-575",IF($K$15="Yes",'Data Tables'!W33,'Data Tables'!X33),IF($K$14="575-600",IF($K$15="Yes",'Data Tables'!W33,'Data Tables'!X33),IF($K$14="600-625",IF($K$15="Yes",'Data Tables'!AC33,'Data Tables'!AD33),IF($K$14="625-650",IF($K$15="Yes",'Data Tables'!AC33,'Data Tables'!AD33),IF($K$14="650-675",IF($K$15="Yes",'Data Tables'!AC33,'Data Tables'!AD33),IF($K$14="675-700",IF($K$15="Yes",'Data Tables'!AC33,'Data Tables'!AD33),IF($K$14="700-750",IF($K$15="Yes",'Data Tables'!AI33,'Data Tables'!AJ33),IF($K$14="750-800",IF($K$15="Yes",'Data Tables'!AI33,'Data Tables'!AJ33),IF($K$14="800-850",IF($K$15="Yes",'Data Tables'!AI33,'Data Tables'!AJ33),IF($K$15="Yes",'Data Tables'!AI33,'Data Tables'!AJ33))))))))))))))))</f>
        <v>0</v>
      </c>
      <c r="P33" s="278"/>
      <c r="Q33" s="281">
        <f>IF($K$12="Wensum",($K33*(IF($K$13="Freely draining",IF($K$14="550-575",IF($K$15="Yes",'Data Tables'!AM11,'Data Tables'!AN11),IF($K$14="575-600",IF($K$15="Yes",'Data Tables'!AM11,'Data Tables'!AN11),IF($K$14="600-625",IF($K$15="Yes",'Data Tables'!AS11,'Data Tables'!AT11),IF($K$14="625-650",IF($K$15="Yes",'Data Tables'!AS11,'Data Tables'!AT11),IF($K$14="650-675",IF($K$15="Yes",'Data Tables'!AS11,'Data Tables'!AT11),IF($K$14="675-700",IF($K$15="Yes",'Data Tables'!AS11,'Data Tables'!AT11),IF($K$14="700-750",IF($K$15="Yes",'Data Tables'!AY11,'Data Tables'!AZ11),IF($K$14="750-800",IF($K$15="Yes",'Data Tables'!AY11,'Data Tables'!AZ11),IF($K$14="800-850",IF($K$15="Yes",'Data Tables'!AY11,'Data Tables'!AZ11),IF($K$15="Yes",'Data Tables'!AS11,'Data Tables'!AT11)))))))))),IF($K$13="Impermeable - drained for arable",IF($K$14="550-575",IF($K$15="Yes",'Data Tables'!AO11,'Data Tables'!AP11),IF($K$14="575-600",IF($K$15="Yes",'Data Tables'!AO11,'Data Tables'!AP11),IF($K$14="600-625",IF($K$15="Yes",'Data Tables'!AU11,'Data Tables'!AV11),IF($K$14="625-650",IF($K$15="Yes",'Data Tables'!AU11,'Data Tables'!AV11),IF($K$14="650-675",IF($K$15="Yes",'Data Tables'!AU11,'Data Tables'!AV11),IF($K$14="675-700",IF($K$15="Yes",'Data Tables'!AU11,'Data Tables'!AV11),IF($K$14="700-750",IF($K$15="Yes",'Data Tables'!BA11,'Data Tables'!BB11),IF($K$14="750-800",IF($K$15="Yes",'Data Tables'!BA11,'Data Tables'!BB11),IF($K$14="800-850",IF($K$15="Yes",'Data Tables'!BA11,'Data Tables'!BB11),IF($K$15="Yes",'Data Tables'!BA11,'Data Tables'!BB11)))))))))),IF($K$14="550-575",IF($K$15="Yes",'Data Tables'!AQ11,'Data Tables'!AR11),IF($K$14="575-600",IF($K$15="Yes",'Data Tables'!AQ11,'Data Tables'!AR11),IF($K$14="600-625",IF($K$15="Yes",'Data Tables'!AW11,'Data Tables'!AX11),IF($K$14="625-650",IF($K$15="Yes",'Data Tables'!AW11,'Data Tables'!AX11),IF($K$14="650-675",IF($K$15="Yes",'Data Tables'!AW11,'Data Tables'!AX11),IF($K$14="675-700",IF($K$15="Yes",'Data Tables'!AW11,'Data Tables'!AX11),IF($K$14="700-750",IF($K$15="Yes",'Data Tables'!BC11,'Data Tables'!BD11),IF($K$14="750-800",IF($K$15="Yes",'Data Tables'!BC11,'Data Tables'!BD11),IF($K$14="800-850",IF($K$15="Yes",'Data Tables'!BC11,'Data Tables'!BD11),IF($K$15="Yes",'Data Tables'!BC11,'Data Tables'!BD11)))))))))))))),IF($K$12="Yare",($K33*(IF($K$13="Freely draining",IF($K$14="550-575",IF($K$15="Yes",'Data Tables'!AM22,'Data Tables'!AN22),IF($K$14="575-600",IF($K$15="Yes",'Data Tables'!AM22,'Data Tables'!AN22),IF($K$14="600-625",IF($K$15="Yes",'Data Tables'!AS22,'Data Tables'!AT22),IF($K$14="625-650",IF($K$15="Yes",'Data Tables'!AS22,'Data Tables'!AT22),IF($K$14="650-675",IF($K$15="Yes",'Data Tables'!AS22,'Data Tables'!AT22),IF($K$14="675-700",IF($K$15="Yes",'Data Tables'!AS22,'Data Tables'!AT22),IF($K$14="700-750",IF($K$15="Yes",'Data Tables'!AY22,'Data Tables'!AZ22),IF($K$14="750-800",IF($K$15="Yes",'Data Tables'!AY22,'Data Tables'!AZ22),IF($K$14="800-850",IF($K$15="Yes",'Data Tables'!AY22,'Data Tables'!AZ22),IF($K$15="Yes",'Data Tables'!AY22,'Data Tables'!AZ22)))))))))),IF($K$13="Impermeable - drained for arable",IF($K$14="550-575",IF($K$15="Yes",'Data Tables'!AO22,'Data Tables'!AP22),IF($K$14="575-600",IF($K$15="Yes",'Data Tables'!AO22,'Data Tables'!AP22),IF($K$14="600-625",IF($K$15="Yes",'Data Tables'!AU22,'Data Tables'!AV22),IF($K$14="625-650",IF($K$15="Yes",'Data Tables'!AU22,'Data Tables'!AV22),IF($K$14="650-675",IF($K$15="Yes",'Data Tables'!AU22,'Data Tables'!AV22),IF($K$14="675-700",IF($K$15="Yes",'Data Tables'!AU22,'Data Tables'!AV22),IF($K$14="700-750",IF($K$15="Yes",'Data Tables'!BA22,'Data Tables'!BB22),IF($K$14="750-800",IF($K$15="Yes",'Data Tables'!BA22,'Data Tables'!BB22),IF($K$14="800-850",IF($K$15="Yes",'Data Tables'!BA22,'Data Tables'!BB22),IF($K$15="Yes",'Data Tables'!BA22,'Data Tables'!BB22)))))))))),IF($K$14="550-575",IF($K$15="Yes",'Data Tables'!AQ22,'Data Tables'!AR22),IF($K$14="575-600",IF($K$15="Yes",'Data Tables'!AQ22,'Data Tables'!AR22),IF($K$14="600-625",IF($K$15="Yes",'Data Tables'!AW22,'Data Tables'!AX22),IF($K$14="625-650",IF($K$15="Yes",'Data Tables'!AW22,'Data Tables'!AX22),IF($K$14="650-675",IF($K$15="Yes",'Data Tables'!AW22,'Data Tables'!AX22),IF($K$14="675-700",IF($K$15="Yes",'Data Tables'!AW22,'Data Tables'!AX22),IF($K$14="700-750",IF($K$15="Yes",'Data Tables'!BC22,'Data Tables'!BD22),IF($K$14="750-800",IF($K$15="Yes",'Data Tables'!BC22,'Data Tables'!BD22),IF($K$14="800-850",IF($K$15="Yes",'Data Tables'!BC22,'Data Tables'!BD22),IF($K$15="Yes",'Data Tables'!BC22,'Data Tables'!BD22)))))))))))))),($K33*(IF($K$13="Freely draining",IF($K$14="550-575",IF($K$15="Yes",'Data Tables'!AM33,'Data Tables'!AN33),IF($K$14="575-600",IF($K$15="Yes",'Data Tables'!AM33,'Data Tables'!AN33),IF($K$14="600-625",IF($K$15="Yes",'Data Tables'!AS33,'Data Tables'!AT33),IF($K$14="625-650",IF($K$15="Yes",'Data Tables'!AS33,'Data Tables'!AT33),IF($K$14="650-675",IF($K$15="Yes",'Data Tables'!AS33,'Data Tables'!AT33),IF($K$14="675-700",IF($K$15="Yes",'Data Tables'!AS33,'Data Tables'!AT33),IF($K$14="700-750",IF($K$15="Yes",'Data Tables'!AY33,'Data Tables'!AZ33),IF($K$14="750-800",IF($K$15="Yes",'Data Tables'!AY33,'Data Tables'!AZ33),IF($K$14="800-850",IF($K$15="Yes",'Data Tables'!AY33,'Data Tables'!AZ33),IF($K$15="Yes",'Data Tables'!AY33,'Data Tables'!AZ33)))))))))),IF($K$13="Impermeable - drained for arable",IF($K$14="550-575",IF($K$15="Yes",'Data Tables'!AO33,'Data Tables'!AP33),IF($K$14="575-600",IF($K$15="Yes",'Data Tables'!AO33,'Data Tables'!AP33),IF($K$14="600-625",IF($K$15="Yes",'Data Tables'!AU33,'Data Tables'!AV33),IF($K$14="625-650",IF($K$15="Yes",'Data Tables'!AU33,'Data Tables'!AV33),IF($K$14="650-675",IF($K$15="Yes",'Data Tables'!AU33,'Data Tables'!AV33),IF($K$14="675-700",IF($K$15="Yes",'Data Tables'!AU33,'Data Tables'!AV33),IF($K$14="700-750",IF($K$15="Yes",'Data Tables'!BA33,'Data Tables'!BB33),IF($K$14="750-800",IF($K$15="Yes",'Data Tables'!BA33,'Data Tables'!BB33),IF($K$14="800-850",IF($K$15="Yes",'Data Tables'!BA33,'Data Tables'!BB33),IF($K$15="Yes",'Data Tables'!BA33,'Data Tables'!BB33)))))))))),IF($K$14="550-575",IF($K$15="Yes",'Data Tables'!AQ33,'Data Tables'!AR33),IF($K$14="575-600",IF($K$15="Yes",'Data Tables'!AQ33,'Data Tables'!AR33),IF($K$14="600-625",IF($K$15="Yes",'Data Tables'!AW33,'Data Tables'!AX33),IF($K$14="625-650",IF($K$15="Yes",'Data Tables'!AW33,'Data Tables'!AX33),IF($K$14="650-675",IF($K$15="Yes",'Data Tables'!AW33,'Data Tables'!AX33),IF($K$14="675-700",IF($K$15="Yes",'Data Tables'!AW33,'Data Tables'!AX33),IF($K$14="700-750",IF($K$15="Yes",'Data Tables'!BC33,'Data Tables'!BD33),IF($K$14="750-800",IF($K$15="Yes",'Data Tables'!BC33,'Data Tables'!BD33),IF($K$14="800-850",IF($K$15="Yes",'Data Tables'!BC33,'Data Tables'!BD33),IF($K$15="Yes",'Data Tables'!BC33,'Data Tables'!BD33))))))))))))))))</f>
        <v>0</v>
      </c>
      <c r="R33" s="282"/>
      <c r="S33" s="49" t="s">
        <v>324</v>
      </c>
      <c r="T33" s="6"/>
      <c r="W33" s="110"/>
      <c r="X33" s="110"/>
      <c r="Y33" s="110"/>
      <c r="Z33" s="110"/>
      <c r="AA33" s="110"/>
      <c r="AB33" s="110"/>
      <c r="AC33" s="110"/>
      <c r="AD33" s="110"/>
      <c r="AE33" s="110"/>
      <c r="AF33" s="110"/>
      <c r="AG33" s="110"/>
      <c r="AH33" s="110"/>
      <c r="AI33" s="110"/>
      <c r="AJ33" s="110"/>
      <c r="AK33" s="110"/>
      <c r="AL33" s="110"/>
      <c r="AM33" s="110"/>
      <c r="AN33" s="110"/>
      <c r="AO33" s="110"/>
      <c r="AQ33" s="110"/>
      <c r="AR33" s="110"/>
      <c r="AS33" s="110"/>
      <c r="AT33" s="110"/>
      <c r="AU33" s="110"/>
      <c r="AV33" s="110"/>
      <c r="AW33" s="110"/>
      <c r="AX33" s="110"/>
      <c r="AY33" s="110"/>
      <c r="AZ33" s="110"/>
      <c r="BA33" s="110"/>
      <c r="BB33" s="110"/>
      <c r="BC33" s="110"/>
    </row>
    <row r="34" spans="2:55" ht="14.7" customHeight="1">
      <c r="B34" s="4"/>
      <c r="C34" s="42"/>
      <c r="D34" s="222"/>
      <c r="E34" s="49"/>
      <c r="F34" s="138" t="s">
        <v>327</v>
      </c>
      <c r="G34" s="138"/>
      <c r="H34" s="138"/>
      <c r="I34" s="138"/>
      <c r="J34" s="138"/>
      <c r="K34" s="276"/>
      <c r="L34" s="235" t="s">
        <v>323</v>
      </c>
      <c r="M34" s="49"/>
      <c r="N34" s="49"/>
      <c r="O34" s="281">
        <f>IF($K$12="Wensum",($K34*(IF($K$13="Freely draining",IF($K$14="550-575",IF($K$15="Yes",'Data Tables'!S12,'Data Tables'!T12),IF($K$14="575-600",IF($K$15="Yes",'Data Tables'!S12,'Data Tables'!T12),IF($K$14="600-625",IF($K$15="Yes",'Data Tables'!Y12,'Data Tables'!Z12),IF($K$14="625-650",IF($K$15="Yes",'Data Tables'!Y12,'Data Tables'!Z12),IF($K$14="650-675",IF($K$15="Yes",'Data Tables'!Y12,'Data Tables'!Z12),IF($K$14="675-700",IF($K$15="Yes",'Data Tables'!Y12,'Data Tables'!Z12),IF($K$14="700-750",IF($K$15="Yes",'Data Tables'!AE12,'Data Tables'!AF12),IF($K$14="750-800",IF($K$15="Yes",'Data Tables'!AE12,'Data Tables'!AF12),IF($K$14="800-850",IF($K$15="Yes",'Data Tables'!AE12,'Data Tables'!AF12),IF($K$15="Yes",'Data Tables'!Y12,'Data Tables'!Z12)))))))))),IF($K$13="Impermeable - drained for arable",IF($K$14="550-575",IF($K$15="Yes",'Data Tables'!U12,'Data Tables'!V12),IF($K$14="575-600",IF($K$15="Yes",'Data Tables'!U12,'Data Tables'!V12),IF($K$14="600-625",IF($K$15="Yes",'Data Tables'!AA12,'Data Tables'!AB12),IF($K$14="625-650",IF($K$15="Yes",'Data Tables'!AA12,'Data Tables'!AB12),IF($K$14="650-675",IF($K$15="Yes",'Data Tables'!AA12,'Data Tables'!AB12),IF($K$14="675-700",IF($K$15="Yes",'Data Tables'!AA12,'Data Tables'!AB12),IF($K$14="700-750",IF($K$15="Yes",'Data Tables'!AG12,'Data Tables'!AH12),IF($K$14="750-800",IF($K$15="Yes",'Data Tables'!AG12,'Data Tables'!AH12),IF($K$14="800-850",IF($K$15="Yes",'Data Tables'!AG12,'Data Tables'!AH12),IF($K$15="Yes",'Data Tables'!AG12,'Data Tables'!AH12)))))))))),IF($K$14="550-575",IF($K$15="Yes",'Data Tables'!W12,'Data Tables'!X12),IF($K$14="575-600",IF($K$15="Yes",'Data Tables'!W12,'Data Tables'!X12),IF($K$14="600-625",IF($K$15="Yes",'Data Tables'!AC12,'Data Tables'!AD12),IF($K$14="625-650",IF($K$15="Yes",'Data Tables'!AC12,'Data Tables'!AD12),IF($K$14="650-675",IF($K$15="Yes",'Data Tables'!AC12,'Data Tables'!AD12),IF($K$14="675-700",IF($K$15="Yes",'Data Tables'!AC12,'Data Tables'!AD12),IF($K$14="700-750",IF($K$15="Yes",'Data Tables'!AI12,'Data Tables'!AJ12),IF($K$14="750-800",IF($K$15="Yes",'Data Tables'!AI12,'Data Tables'!AJ12),IF($K$14="800-850",IF($K$15="Yes",'Data Tables'!AI12,'Data Tables'!AJ12),IF($K$15="Yes",'Data Tables'!AI12,'Data Tables'!AJ12)))))))))))))),IF($K$12="Yare",($K34*(IF($K$13="Freely draining",IF($K$14="550-575",IF($K$15="Yes",'Data Tables'!S23,'Data Tables'!T23),IF($K$14="575-600",IF($K$15="Yes",'Data Tables'!S23,'Data Tables'!T23),IF($K$14="600-625",IF($K$15="Yes",'Data Tables'!Y23,'Data Tables'!Z23),IF($K$14="625-650",IF($K$15="Yes",'Data Tables'!Y23,'Data Tables'!Z23),IF($K$14="650-675",IF($K$15="Yes",'Data Tables'!Y23,'Data Tables'!Z23),IF($K$14="675-700",IF($K$15="Yes",'Data Tables'!Y23,'Data Tables'!Z23),IF($K$14="700-750",IF($K$15="Yes",'Data Tables'!AE23,'Data Tables'!AF23),IF($K$14="750-800",IF($K$15="Yes",'Data Tables'!AE23,'Data Tables'!AF23),IF($K$14="800-850",IF($K$15="Yes",'Data Tables'!AE23,'Data Tables'!AF23),IF($K$15="Yes",'Data Tables'!AE23,'Data Tables'!AF23)))))))))),IF($K$13="Impermeable - drained for arable",IF($K$14="550-575",IF($K$15="Yes",'Data Tables'!U23,'Data Tables'!V23),IF($K$14="575-600",IF($K$15="Yes",'Data Tables'!U23,'Data Tables'!V23),IF($K$14="600-625",IF($K$15="Yes",'Data Tables'!AA23,'Data Tables'!AB23),IF($K$14="625-650",IF($K$15="Yes",'Data Tables'!AA23,'Data Tables'!AB23),IF($K$14="650-675",IF($K$15="Yes",'Data Tables'!AA23,'Data Tables'!AB23),IF($K$14="675-700",IF($K$15="Yes",'Data Tables'!AA23,'Data Tables'!AB23),IF($K$14="700-750",IF($K$15="Yes",'Data Tables'!AG23,'Data Tables'!AH23),IF($K$14="750-800",IF($K$15="Yes",'Data Tables'!AG23,'Data Tables'!AH23),IF($K$14="800-850",IF($K$15="Yes",'Data Tables'!AG23,'Data Tables'!AH23),IF($K$15="Yes",'Data Tables'!AG23,'Data Tables'!AH23)))))))))),IF($K$14="550-575",IF($K$15="Yes",'Data Tables'!W23,'Data Tables'!X23),IF($K$14="575-600",IF($K$15="Yes",'Data Tables'!W23,'Data Tables'!X23),IF($K$14="600-625",IF($K$15="Yes",'Data Tables'!AC23,'Data Tables'!AD23),IF($K$14="625-650",IF($K$15="Yes",'Data Tables'!AC23,'Data Tables'!AD23),IF($K$14="650-675",IF($K$15="Yes",'Data Tables'!AC23,'Data Tables'!AD23),IF($K$14="675-700",IF($K$15="Yes",'Data Tables'!AC23,'Data Tables'!AD23),IF($K$14="700-750",IF($K$15="Yes",'Data Tables'!AI23,'Data Tables'!AJ23),IF($K$14="750-800",IF($K$15="Yes",'Data Tables'!AI23,'Data Tables'!AJ23),IF($K$14="800-850",IF($K$15="Yes",'Data Tables'!AI23,'Data Tables'!AJ23),IF($K$15="Yes",'Data Tables'!AI23,'Data Tables'!AJ23)))))))))))))),($K34*(IF($K$13="Freely draining",IF($K$14="550-575",IF($K$15="Yes",'Data Tables'!S34,'Data Tables'!T34),IF($K$14="575-600",IF($K$15="Yes",'Data Tables'!S34,'Data Tables'!T34),IF($K$14="600-625",IF($K$15="Yes",'Data Tables'!Y34,'Data Tables'!Z34),IF($K$14="625-650",IF($K$15="Yes",'Data Tables'!Y34,'Data Tables'!Z34),IF($K$14="650-675",IF($K$15="Yes",'Data Tables'!Y34,'Data Tables'!Z34),IF($K$14="675-700",IF($K$15="Yes",'Data Tables'!Y34,'Data Tables'!Z34),IF($K$14="700-750",IF($K$15="Yes",'Data Tables'!AE34,'Data Tables'!AF34),IF($K$14="750-800",IF($K$15="Yes",'Data Tables'!AE34,'Data Tables'!AF34),IF($K$14="800-850",IF($K$15="Yes",'Data Tables'!AE34,'Data Tables'!AF34),IF($K$15="Yes",'Data Tables'!AE34,'Data Tables'!AF34)))))))))),IF($K$13="Impermeable - drained for arable",IF($K$14="550-575",IF($K$15="Yes",'Data Tables'!U34,'Data Tables'!V34),IF($K$14="575-600",IF($K$15="Yes",'Data Tables'!U34,'Data Tables'!V34),IF($K$14="600-625",IF($K$15="Yes",'Data Tables'!AA34,'Data Tables'!AB34),IF($K$14="625-650",IF($K$15="Yes",'Data Tables'!AA34,'Data Tables'!AB34),IF($K$14="650-675",IF($K$15="Yes",'Data Tables'!AA34,'Data Tables'!AB34),IF($K$14="675-700",IF($K$15="Yes",'Data Tables'!AA34,'Data Tables'!AB34),IF($K$14="700-750",IF($K$15="Yes",'Data Tables'!AG34,'Data Tables'!AH34),IF($K$14="750-800",IF($K$15="Yes",'Data Tables'!AG34,'Data Tables'!AH34),IF($K$14="800-850",IF($K$15="Yes",'Data Tables'!AG34,'Data Tables'!AH34),IF($K$15="Yes",'Data Tables'!AG34,'Data Tables'!AH34)))))))))),IF($K$14="550-575",IF($K$15="Yes",'Data Tables'!W34,'Data Tables'!X34),IF($K$14="575-600",IF($K$15="Yes",'Data Tables'!W34,'Data Tables'!X34),IF($K$14="600-625",IF($K$15="Yes",'Data Tables'!AC34,'Data Tables'!AD34),IF($K$14="625-650",IF($K$15="Yes",'Data Tables'!AC34,'Data Tables'!AD34),IF($K$14="650-675",IF($K$15="Yes",'Data Tables'!AC34,'Data Tables'!AD34),IF($K$14="675-700",IF($K$15="Yes",'Data Tables'!AC34,'Data Tables'!AD34),IF($K$14="700-750",IF($K$15="Yes",'Data Tables'!AI34,'Data Tables'!AJ34),IF($K$14="750-800",IF($K$15="Yes",'Data Tables'!AI34,'Data Tables'!AJ34),IF($K$14="800-850",IF($K$15="Yes",'Data Tables'!AI34,'Data Tables'!AJ34),IF($K$15="Yes",'Data Tables'!AI34,'Data Tables'!AJ34))))))))))))))))</f>
        <v>0</v>
      </c>
      <c r="P34" s="278"/>
      <c r="Q34" s="281">
        <f>IF($K$12="Wensum",($K34*(IF($K$13="Freely draining",IF($K$14="550-575",IF($K$15="Yes",'Data Tables'!AM12,'Data Tables'!AN12),IF($K$14="575-600",IF($K$15="Yes",'Data Tables'!AM12,'Data Tables'!AN12),IF($K$14="600-625",IF($K$15="Yes",'Data Tables'!AS12,'Data Tables'!AT12),IF($K$14="625-650",IF($K$15="Yes",'Data Tables'!AS12,'Data Tables'!AT12),IF($K$14="650-675",IF($K$15="Yes",'Data Tables'!AS12,'Data Tables'!AT12),IF($K$14="675-700",IF($K$15="Yes",'Data Tables'!AS12,'Data Tables'!AT12),IF($K$14="700-750",IF($K$15="Yes",'Data Tables'!AY12,'Data Tables'!AZ12),IF($K$14="750-800",IF($K$15="Yes",'Data Tables'!AY12,'Data Tables'!AZ12),IF($K$14="800-850",IF($K$15="Yes",'Data Tables'!AY12,'Data Tables'!AZ12),IF($K$15="Yes",'Data Tables'!AS12,'Data Tables'!AT12)))))))))),IF($K$13="Impermeable - drained for arable",IF($K$14="550-575",IF($K$15="Yes",'Data Tables'!AO12,'Data Tables'!AP12),IF($K$14="575-600",IF($K$15="Yes",'Data Tables'!AO12,'Data Tables'!AP12),IF($K$14="600-625",IF($K$15="Yes",'Data Tables'!AU12,'Data Tables'!AV12),IF($K$14="625-650",IF($K$15="Yes",'Data Tables'!AU12,'Data Tables'!AV12),IF($K$14="650-675",IF($K$15="Yes",'Data Tables'!AU12,'Data Tables'!AV12),IF($K$14="675-700",IF($K$15="Yes",'Data Tables'!AU12,'Data Tables'!AV12),IF($K$14="700-750",IF($K$15="Yes",'Data Tables'!BA12,'Data Tables'!BB12),IF($K$14="750-800",IF($K$15="Yes",'Data Tables'!BA12,'Data Tables'!BB12),IF($K$14="800-850",IF($K$15="Yes",'Data Tables'!BA12,'Data Tables'!BB12),IF($K$15="Yes",'Data Tables'!BA12,'Data Tables'!BB12)))))))))),IF($K$14="550-575",IF($K$15="Yes",'Data Tables'!AQ12,'Data Tables'!AR12),IF($K$14="575-600",IF($K$15="Yes",'Data Tables'!AQ12,'Data Tables'!AR12),IF($K$14="600-625",IF($K$15="Yes",'Data Tables'!AW12,'Data Tables'!AX12),IF($K$14="625-650",IF($K$15="Yes",'Data Tables'!AW12,'Data Tables'!AX12),IF($K$14="650-675",IF($K$15="Yes",'Data Tables'!AW12,'Data Tables'!AX12),IF($K$14="675-700",IF($K$15="Yes",'Data Tables'!AW12,'Data Tables'!AX12),IF($K$14="700-750",IF($K$15="Yes",'Data Tables'!BC12,'Data Tables'!BD12),IF($K$14="750-800",IF($K$15="Yes",'Data Tables'!BC12,'Data Tables'!BD12),IF($K$14="800-850",IF($K$15="Yes",'Data Tables'!BC12,'Data Tables'!BD12),IF($K$15="Yes",'Data Tables'!BC12,'Data Tables'!BD12)))))))))))))),IF($K$12="Yare",($K34*(IF($K$13="Freely draining",IF($K$14="550-575",IF($K$15="Yes",'Data Tables'!AM23,'Data Tables'!AN23),IF($K$14="575-600",IF($K$15="Yes",'Data Tables'!AM23,'Data Tables'!AN23),IF($K$14="600-625",IF($K$15="Yes",'Data Tables'!AS23,'Data Tables'!AT23),IF($K$14="625-650",IF($K$15="Yes",'Data Tables'!AS23,'Data Tables'!AT23),IF($K$14="650-675",IF($K$15="Yes",'Data Tables'!AS23,'Data Tables'!AT23),IF($K$14="675-700",IF($K$15="Yes",'Data Tables'!AS23,'Data Tables'!AT23),IF($K$14="700-750",IF($K$15="Yes",'Data Tables'!AY23,'Data Tables'!AZ23),IF($K$14="750-800",IF($K$15="Yes",'Data Tables'!AY23,'Data Tables'!AZ23),IF($K$14="800-850",IF($K$15="Yes",'Data Tables'!AY23,'Data Tables'!AZ23),IF($K$15="Yes",'Data Tables'!AY23,'Data Tables'!AZ23)))))))))),IF($K$13="Impermeable - drained for arable",IF($K$14="550-575",IF($K$15="Yes",'Data Tables'!AO23,'Data Tables'!AP23),IF($K$14="575-600",IF($K$15="Yes",'Data Tables'!AO23,'Data Tables'!AP23),IF($K$14="600-625",IF($K$15="Yes",'Data Tables'!AU23,'Data Tables'!AV23),IF($K$14="625-650",IF($K$15="Yes",'Data Tables'!AU23,'Data Tables'!AV23),IF($K$14="650-675",IF($K$15="Yes",'Data Tables'!AU23,'Data Tables'!AV23),IF($K$14="675-700",IF($K$15="Yes",'Data Tables'!AU23,'Data Tables'!AV23),IF($K$14="700-750",IF($K$15="Yes",'Data Tables'!BA23,'Data Tables'!BB23),IF($K$14="750-800",IF($K$15="Yes",'Data Tables'!BA23,'Data Tables'!BB23),IF($K$14="800-850",IF($K$15="Yes",'Data Tables'!BA23,'Data Tables'!BB23),IF($K$15="Yes",'Data Tables'!BA23,'Data Tables'!BB23)))))))))),IF($K$14="550-575",IF($K$15="Yes",'Data Tables'!AQ23,'Data Tables'!AR23),IF($K$14="575-600",IF($K$15="Yes",'Data Tables'!AQ23,'Data Tables'!AR23),IF($K$14="600-625",IF($K$15="Yes",'Data Tables'!AW23,'Data Tables'!AX23),IF($K$14="625-650",IF($K$15="Yes",'Data Tables'!AW23,'Data Tables'!AX23),IF($K$14="650-675",IF($K$15="Yes",'Data Tables'!AW23,'Data Tables'!AX23),IF($K$14="675-700",IF($K$15="Yes",'Data Tables'!AW23,'Data Tables'!AX23),IF($K$14="700-750",IF($K$15="Yes",'Data Tables'!BC23,'Data Tables'!BD23),IF($K$14="750-800",IF($K$15="Yes",'Data Tables'!BC23,'Data Tables'!BD23),IF($K$14="800-850",IF($K$15="Yes",'Data Tables'!BC23,'Data Tables'!BD23),IF($K$15="Yes",'Data Tables'!BC23,'Data Tables'!BD23)))))))))))))),($K34*(IF($K$13="Freely draining",IF($K$14="550-575",IF($K$15="Yes",'Data Tables'!AM34,'Data Tables'!AN34),IF($K$14="575-600",IF($K$15="Yes",'Data Tables'!AM34,'Data Tables'!AN34),IF($K$14="600-625",IF($K$15="Yes",'Data Tables'!AS34,'Data Tables'!AT34),IF($K$14="625-650",IF($K$15="Yes",'Data Tables'!AS34,'Data Tables'!AT34),IF($K$14="650-675",IF($K$15="Yes",'Data Tables'!AS34,'Data Tables'!AT34),IF($K$14="675-700",IF($K$15="Yes",'Data Tables'!AS34,'Data Tables'!AT34),IF($K$14="700-750",IF($K$15="Yes",'Data Tables'!AY34,'Data Tables'!AZ34),IF($K$14="750-800",IF($K$15="Yes",'Data Tables'!AY34,'Data Tables'!AZ34),IF($K$14="800-850",IF($K$15="Yes",'Data Tables'!AY34,'Data Tables'!AZ34),IF($K$15="Yes",'Data Tables'!AY34,'Data Tables'!AZ34)))))))))),IF($K$13="Impermeable - drained for arable",IF($K$14="550-575",IF($K$15="Yes",'Data Tables'!AO34,'Data Tables'!AP34),IF($K$14="575-600",IF($K$15="Yes",'Data Tables'!AO34,'Data Tables'!AP34),IF($K$14="600-625",IF($K$15="Yes",'Data Tables'!AU34,'Data Tables'!AV34),IF($K$14="625-650",IF($K$15="Yes",'Data Tables'!AU34,'Data Tables'!AV34),IF($K$14="650-675",IF($K$15="Yes",'Data Tables'!AU34,'Data Tables'!AV34),IF($K$14="675-700",IF($K$15="Yes",'Data Tables'!AU34,'Data Tables'!AV34),IF($K$14="700-750",IF($K$15="Yes",'Data Tables'!BA34,'Data Tables'!BB34),IF($K$14="750-800",IF($K$15="Yes",'Data Tables'!BA34,'Data Tables'!BB34),IF($K$14="800-850",IF($K$15="Yes",'Data Tables'!BA34,'Data Tables'!BB34),IF($K$15="Yes",'Data Tables'!BA34,'Data Tables'!BB34)))))))))),IF($K$14="550-575",IF($K$15="Yes",'Data Tables'!AQ34,'Data Tables'!AR34),IF($K$14="575-600",IF($K$15="Yes",'Data Tables'!AQ34,'Data Tables'!AR34),IF($K$14="600-625",IF($K$15="Yes",'Data Tables'!AW34,'Data Tables'!AX34),IF($K$14="625-650",IF($K$15="Yes",'Data Tables'!AW34,'Data Tables'!AX34),IF($K$14="650-675",IF($K$15="Yes",'Data Tables'!AW34,'Data Tables'!AX34),IF($K$14="675-700",IF($K$15="Yes",'Data Tables'!AW34,'Data Tables'!AX34),IF($K$14="700-750",IF($K$15="Yes",'Data Tables'!BC34,'Data Tables'!BD34),IF($K$14="750-800",IF($K$15="Yes",'Data Tables'!BC34,'Data Tables'!BD34),IF($K$14="800-850",IF($K$15="Yes",'Data Tables'!BC34,'Data Tables'!BD34),IF($K$15="Yes",'Data Tables'!BC34,'Data Tables'!BD34))))))))))))))))</f>
        <v>0</v>
      </c>
      <c r="R34" s="282"/>
      <c r="S34" s="49" t="s">
        <v>324</v>
      </c>
      <c r="T34" s="6"/>
      <c r="W34" s="110"/>
      <c r="X34" s="110"/>
      <c r="Y34" s="110"/>
      <c r="Z34" s="110"/>
      <c r="AA34" s="110"/>
      <c r="AB34" s="110"/>
      <c r="AC34" s="110"/>
      <c r="AD34" s="110"/>
      <c r="AE34" s="110"/>
      <c r="AF34" s="110"/>
      <c r="AG34" s="110"/>
      <c r="AH34" s="110"/>
      <c r="AI34" s="110"/>
      <c r="AJ34" s="110"/>
      <c r="AK34" s="110"/>
      <c r="AL34" s="110"/>
      <c r="AM34" s="110"/>
      <c r="AN34" s="110"/>
      <c r="AO34" s="110"/>
      <c r="AQ34" s="110"/>
      <c r="AR34" s="110"/>
      <c r="AS34" s="110"/>
      <c r="AT34" s="110"/>
      <c r="AU34" s="110"/>
      <c r="AV34" s="110"/>
      <c r="AW34" s="110"/>
      <c r="AX34" s="110"/>
      <c r="AY34" s="110"/>
      <c r="AZ34" s="110"/>
      <c r="BA34" s="110"/>
      <c r="BB34" s="110"/>
      <c r="BC34" s="110"/>
    </row>
    <row r="35" spans="2:34" ht="14.7" customHeight="1">
      <c r="B35" s="4"/>
      <c r="C35" s="42"/>
      <c r="D35" s="222"/>
      <c r="E35" s="49"/>
      <c r="F35" s="138" t="str">
        <f>'Data Tables'!N3</f>
        <v>Allotments and city farms</v>
      </c>
      <c r="G35" s="138"/>
      <c r="H35" s="138"/>
      <c r="I35" s="138"/>
      <c r="J35" s="138"/>
      <c r="K35" s="276"/>
      <c r="L35" s="235" t="s">
        <v>323</v>
      </c>
      <c r="M35" s="49"/>
      <c r="N35" s="49"/>
      <c r="O35" s="281">
        <f>IF($K$12="Wensum",($K35*(IF($K$13="Freely draining",IF($K$14="550-575",IF($K$15="Yes",'Data Tables'!S13,'Data Tables'!T13),IF($K$14="575-600",IF($K$15="Yes",'Data Tables'!S13,'Data Tables'!T13),IF($K$14="600-625",IF($K$15="Yes",'Data Tables'!Y13,'Data Tables'!Z13),IF($K$14="625-650",IF($K$15="Yes",'Data Tables'!Y13,'Data Tables'!Z13),IF($K$14="650-675",IF($K$15="Yes",'Data Tables'!Y13,'Data Tables'!Z13),IF($K$14="675-700",IF($K$15="Yes",'Data Tables'!Y13,'Data Tables'!Z13),IF($K$14="700-750",IF($K$15="Yes",'Data Tables'!AE13,'Data Tables'!AF13),IF($K$14="750-800",IF($K$15="Yes",'Data Tables'!AE13,'Data Tables'!AF13),IF($K$14="800-850",IF($K$15="Yes",'Data Tables'!AE13,'Data Tables'!AF13),IF($K$15="Yes",'Data Tables'!AE13,'Data Tables'!AF13)))))))))),IF($K$13="Impermeable - drained for arable",IF($K$14="550-575",IF($K$15="Yes",'Data Tables'!U13,'Data Tables'!V13),IF($K$14="575-600",IF($K$15="Yes",'Data Tables'!U13,'Data Tables'!V13),IF($K$14="600-625",IF($K$15="Yes",'Data Tables'!AA13,'Data Tables'!AB13),IF($K$14="625-650",IF($K$15="Yes",'Data Tables'!AA13,'Data Tables'!AB13),IF($K$14="650-675",IF($K$15="Yes",'Data Tables'!AA13,'Data Tables'!AB13),IF($K$14="675-700",IF($K$15="Yes",'Data Tables'!AA13,'Data Tables'!AB13),IF($K$14="700-750",IF($K$15="Yes",'Data Tables'!AG13,'Data Tables'!AH13),IF($K$14="750-800",IF($K$15="Yes",'Data Tables'!AG13,'Data Tables'!AH13),IF($K$14="800-850",IF($K$15="Yes",'Data Tables'!AG13,'Data Tables'!AH13),IF($K$15="Yes",'Data Tables'!AG13,'Data Tables'!AH13)))))))))),IF($K$14="550-575",IF($K$15="Yes",'Data Tables'!W13,'Data Tables'!X13),IF($K$14="575-600",IF($K$15="Yes",'Data Tables'!W13,'Data Tables'!X13),IF($K$14="600-625",IF($K$15="Yes",'Data Tables'!AC13,'Data Tables'!AD13),IF($K$14="625-650",IF($K$15="Yes",'Data Tables'!AC13,'Data Tables'!AD13),IF($K$14="650-675",IF($K$15="Yes",'Data Tables'!AC13,'Data Tables'!AD13),IF($K$14="675-700",IF($K$15="Yes",'Data Tables'!AC13,'Data Tables'!AD13),IF($K$14="700-750",IF($K$15="Yes",'Data Tables'!AI13,'Data Tables'!AJ13),IF($K$14="750-800",IF($K$15="Yes",'Data Tables'!AI13,'Data Tables'!AJ13),IF($K$14="800-850",IF($K$15="Yes",'Data Tables'!AI13,'Data Tables'!AJ13),IF($K$15="Yes",'Data Tables'!AI13,'Data Tables'!AJ13)))))))))))))),IF($K$12="Yare",($K35*(IF($K$13="Freely draining",IF($K$14="550-575",IF($K$15="Yes",'Data Tables'!S24,'Data Tables'!T24),IF($K$14="575-600",IF($K$15="Yes",'Data Tables'!S24,'Data Tables'!T24),IF($K$14="600-625",IF($K$15="Yes",'Data Tables'!Y24,'Data Tables'!Z24),IF($K$14="625-650",IF($K$15="Yes",'Data Tables'!Y24,'Data Tables'!Z24),IF($K$14="650-675",IF($K$15="Yes",'Data Tables'!Y24,'Data Tables'!Z24),IF($K$14="675-700",IF($K$15="Yes",'Data Tables'!Y24,'Data Tables'!Z24),IF($K$14="700-750",IF($K$15="Yes",'Data Tables'!AE24,'Data Tables'!AF24),IF($K$14="750-800",IF($K$15="Yes",'Data Tables'!AE24,'Data Tables'!AF24),IF($K$14="800-850",IF($K$15="Yes",'Data Tables'!AE24,'Data Tables'!AF24),IF($K$15="Yes",'Data Tables'!AE24,'Data Tables'!AF24)))))))))),IF($K$13="Impermeable - drained for arable",IF($K$14="550-575",IF($K$15="Yes",'Data Tables'!U24,'Data Tables'!V24),IF($K$14="575-600",IF($K$15="Yes",'Data Tables'!U24,'Data Tables'!V24),IF($K$14="600-625",IF($K$15="Yes",'Data Tables'!AA24,'Data Tables'!AB24),IF($K$14="625-650",IF($K$15="Yes",'Data Tables'!AA24,'Data Tables'!AB24),IF($K$14="650-675",IF($K$15="Yes",'Data Tables'!AA24,'Data Tables'!AB24),IF($K$14="675-700",IF($K$15="Yes",'Data Tables'!AA24,'Data Tables'!AB24),IF($K$14="700-750",IF($K$15="Yes",'Data Tables'!AG24,'Data Tables'!AH24),IF($K$14="750-800",IF($K$15="Yes",'Data Tables'!AG24,'Data Tables'!AH24),IF($K$14="800-850",IF($K$15="Yes",'Data Tables'!AG24,'Data Tables'!AH24),IF($K$15="Yes",'Data Tables'!AG24,'Data Tables'!AH24)))))))))),IF($K$14="550-575",IF($K$15="Yes",'Data Tables'!W24,'Data Tables'!X24),IF($K$14="575-600",IF($K$15="Yes",'Data Tables'!W24,'Data Tables'!X24),IF($K$14="600-625",IF($K$15="Yes",'Data Tables'!AC24,'Data Tables'!AD24),IF($K$14="625-650",IF($K$15="Yes",'Data Tables'!AC24,'Data Tables'!AD24),IF($K$14="650-675",IF($K$15="Yes",'Data Tables'!AC24,'Data Tables'!AD24),IF($K$14="675-700",IF($K$15="Yes",'Data Tables'!AC24,'Data Tables'!AD24),IF($K$14="700-750",IF($K$15="Yes",'Data Tables'!AI24,'Data Tables'!AJ24),IF($K$14="750-800",IF($K$15="Yes",'Data Tables'!AI24,'Data Tables'!AJ24),IF($K$14="800-850",IF($K$15="Yes",'Data Tables'!AI24,'Data Tables'!AJ24),IF($K$15="Yes",'Data Tables'!AI24,'Data Tables'!AJ24)))))))))))))),($K35*(IF($K$13="Freely draining",IF($K$14="550-575",IF($K$15="Yes",'Data Tables'!S35,'Data Tables'!T35),IF($K$14="575-600",IF($K$15="Yes",'Data Tables'!S35,'Data Tables'!T35),IF($K$14="600-625",IF($K$15="Yes",'Data Tables'!Y35,'Data Tables'!Z35),IF($K$14="625-650",IF($K$15="Yes",'Data Tables'!Y35,'Data Tables'!Z35),IF($K$14="650-675",IF($K$15="Yes",'Data Tables'!Y35,'Data Tables'!Z35),IF($K$14="675-700",IF($K$15="Yes",'Data Tables'!Y35,'Data Tables'!Z35),IF($K$14="700-750",IF($K$15="Yes",'Data Tables'!AE35,'Data Tables'!AF35),IF($K$14="750-800",IF($K$15="Yes",'Data Tables'!AE35,'Data Tables'!AF35),IF($K$14="800-850",IF($K$15="Yes",'Data Tables'!AE35,'Data Tables'!AF35),IF($K$15="Yes",'Data Tables'!AE35,'Data Tables'!AF35)))))))))),IF($K$13="Impermeable - drained for arable",IF($K$14="550-575",IF($K$15="Yes",'Data Tables'!U35,'Data Tables'!V35),IF($K$14="575-600",IF($K$15="Yes",'Data Tables'!U35,'Data Tables'!V35),IF($K$14="600-625",IF($K$15="Yes",'Data Tables'!AA35,'Data Tables'!AB35),IF($K$14="625-650",IF($K$15="Yes",'Data Tables'!AA35,'Data Tables'!AB35),IF($K$14="650-675",IF($K$15="Yes",'Data Tables'!AA35,'Data Tables'!AB35),IF($K$14="675-700",IF($K$15="Yes",'Data Tables'!AA35,'Data Tables'!AB35),IF($K$14="700-750",IF($K$15="Yes",'Data Tables'!AG35,'Data Tables'!AH35),IF($K$14="750-800",IF($K$15="Yes",'Data Tables'!AG35,'Data Tables'!AH35),IF($K$14="800-850",IF($K$15="Yes",'Data Tables'!AG35,'Data Tables'!AH35),IF($K$15="Yes",'Data Tables'!AG35,'Data Tables'!AH35)))))))))),IF($K$14="550-575",IF($K$15="Yes",'Data Tables'!W35,'Data Tables'!X35),IF($K$14="575-600",IF($K$15="Yes",'Data Tables'!W35,'Data Tables'!X35),IF($K$14="600-625",IF($K$15="Yes",'Data Tables'!AC35,'Data Tables'!AD35),IF($K$14="625-650",IF($K$15="Yes",'Data Tables'!AC35,'Data Tables'!AD35),IF($K$14="650-675",IF($K$15="Yes",'Data Tables'!AC35,'Data Tables'!AD35),IF($K$14="675-700",IF($K$15="Yes",'Data Tables'!AC35,'Data Tables'!AD35),IF($K$14="700-750",IF($K$15="Yes",'Data Tables'!AI35,'Data Tables'!AJ35),IF($K$14="750-800",IF($K$15="Yes",'Data Tables'!AI35,'Data Tables'!AJ35),IF($K$14="800-850",IF($K$15="Yes",'Data Tables'!AI35,'Data Tables'!AJ35),IF($K$15="Yes",'Data Tables'!AI35,'Data Tables'!AJ35))))))))))))))))</f>
        <v>0</v>
      </c>
      <c r="P35" s="283"/>
      <c r="Q35" s="281">
        <f>IF($K$12="Wensum",($K35*(IF($K$13="Freely draining",IF($K$14="550-575",IF($K$15="Yes",'Data Tables'!AM13,'Data Tables'!AN13),IF($K$14="575-600",IF($K$15="Yes",'Data Tables'!AM13,'Data Tables'!AN13),IF($K$14="600-625",IF($K$15="Yes",'Data Tables'!AS13,'Data Tables'!AT13),IF($K$14="625-650",IF($K$15="Yes",'Data Tables'!AS13,'Data Tables'!AT13),IF($K$14="650-675",IF($K$15="Yes",'Data Tables'!AS13,'Data Tables'!AT13),IF($K$14="675-700",IF($K$15="Yes",'Data Tables'!AS13,'Data Tables'!AT13),IF($K$14="700-750",IF($K$15="Yes",'Data Tables'!AY13,'Data Tables'!AZ13),IF($K$14="750-800",IF($K$15="Yes",'Data Tables'!AY13,'Data Tables'!AZ13),IF($K$14="800-850",IF($K$15="Yes",'Data Tables'!AY13,'Data Tables'!AZ13),IF($K$15="Yes",'Data Tables'!AY13,'Data Tables'!AZ13)))))))))),IF($K$13="Impermeable - drained for arable",IF($K$14="550-575",IF($K$15="Yes",'Data Tables'!AO13,'Data Tables'!AP13),IF($K$14="575-600",IF($K$15="Yes",'Data Tables'!AO13,'Data Tables'!AP13),IF($K$14="600-625",IF($K$15="Yes",'Data Tables'!AU13,'Data Tables'!AV13),IF($K$14="625-650",IF($K$15="Yes",'Data Tables'!AU13,'Data Tables'!AV13),IF($K$14="650-675",IF($K$15="Yes",'Data Tables'!AU13,'Data Tables'!AV13),IF($K$14="675-700",IF($K$15="Yes",'Data Tables'!AU13,'Data Tables'!AV13),IF($K$14="700-750",IF($K$15="Yes",'Data Tables'!BA13,'Data Tables'!BB13),IF($K$14="750-800",IF($K$15="Yes",'Data Tables'!BA13,'Data Tables'!BB13),IF($K$14="800-850",IF($K$15="Yes",'Data Tables'!BA13,'Data Tables'!BB13),IF($K$15="Yes",'Data Tables'!BA13,'Data Tables'!BB13)))))))))),IF($K$14="550-575",IF($K$15="Yes",'Data Tables'!AQ13,'Data Tables'!AR13),IF($K$14="575-600",IF($K$15="Yes",'Data Tables'!AQ13,'Data Tables'!AR13),IF($K$14="600-625",IF($K$15="Yes",'Data Tables'!AW13,'Data Tables'!AX13),IF($K$14="625-650",IF($K$15="Yes",'Data Tables'!AW13,'Data Tables'!AX13),IF($K$14="650-675",IF($K$15="Yes",'Data Tables'!AW13,'Data Tables'!AX13),IF($K$14="675-700",IF($K$15="Yes",'Data Tables'!AW13,'Data Tables'!AX13),IF($K$14="700-750",IF($K$15="Yes",'Data Tables'!BC13,'Data Tables'!BD13),IF($K$14="750-800",IF($K$15="Yes",'Data Tables'!BC13,'Data Tables'!BD13),IF($K$14="800-850",IF($K$15="Yes",'Data Tables'!BC13,'Data Tables'!BD13),IF($K$15="Yes",'Data Tables'!BC13,'Data Tables'!BD13)))))))))))))),IF($K$12="Yare",($K35*(IF($K$13="Freely draining",IF($K$14="550-575",IF($K$15="Yes",'Data Tables'!AM24,'Data Tables'!AN24),IF($K$14="575-600",IF($K$15="Yes",'Data Tables'!AM24,'Data Tables'!AN24),IF($K$14="600-625",IF($K$15="Yes",'Data Tables'!AS24,'Data Tables'!AT24),IF($K$14="625-650",IF($K$15="Yes",'Data Tables'!AS24,'Data Tables'!AT24),IF($K$14="650-675",IF($K$15="Yes",'Data Tables'!AS24,'Data Tables'!AT24),IF($K$14="675-700",IF($K$15="Yes",'Data Tables'!AS24,'Data Tables'!AT24),IF($K$14="700-750",IF($K$15="Yes",'Data Tables'!AY24,'Data Tables'!AZ24),IF($K$14="750-800",IF($K$15="Yes",'Data Tables'!AY24,'Data Tables'!AZ24),IF($K$14="800-850",IF($K$15="Yes",'Data Tables'!AY24,'Data Tables'!AZ24),IF($K$15="Yes",'Data Tables'!AY24,'Data Tables'!AZ24)))))))))),IF($K$13="Impermeable - drained for arable",IF($K$14="550-575",IF($K$15="Yes",'Data Tables'!AO24,'Data Tables'!AP24),IF($K$14="575-600",IF($K$15="Yes",'Data Tables'!AO24,'Data Tables'!AP24),IF($K$14="600-625",IF($K$15="Yes",'Data Tables'!AU24,'Data Tables'!AV24),IF($K$14="625-650",IF($K$15="Yes",'Data Tables'!AU24,'Data Tables'!AV24),IF($K$14="650-675",IF($K$15="Yes",'Data Tables'!AU24,'Data Tables'!AV24),IF($K$14="675-700",IF($K$15="Yes",'Data Tables'!AU24,'Data Tables'!AV24),IF($K$14="700-750",IF($K$15="Yes",'Data Tables'!BA24,'Data Tables'!BB24),IF($K$14="750-800",IF($K$15="Yes",'Data Tables'!BA24,'Data Tables'!BB24),IF($K$14="800-850",IF($K$15="Yes",'Data Tables'!BA24,'Data Tables'!BB24),IF($K$15="Yes",'Data Tables'!BA24,'Data Tables'!BB24)))))))))),IF($K$14="550-575",IF($K$15="Yes",'Data Tables'!AQ24,'Data Tables'!AR24),IF($K$14="575-600",IF($K$15="Yes",'Data Tables'!AQ24,'Data Tables'!AR24),IF($K$14="600-625",IF($K$15="Yes",'Data Tables'!AW24,'Data Tables'!AX24),IF($K$14="625-650",IF($K$15="Yes",'Data Tables'!AW24,'Data Tables'!AX24),IF($K$14="650-675",IF($K$15="Yes",'Data Tables'!AW24,'Data Tables'!AX24),IF($K$14="675-700",IF($K$15="Yes",'Data Tables'!AW24,'Data Tables'!AX24),IF($K$14="700-750",IF($K$15="Yes",'Data Tables'!BC24,'Data Tables'!BD24),IF($K$14="750-800",IF($K$15="Yes",'Data Tables'!BC24,'Data Tables'!BD24),IF($K$14="800-850",IF($K$15="Yes",'Data Tables'!BC24,'Data Tables'!BD24),IF($K$15="Yes",'Data Tables'!BC24,'Data Tables'!BD24)))))))))))))),($K35*(IF($K$13="Freely draining",IF($K$14="550-575",IF($K$15="Yes",'Data Tables'!AM35,'Data Tables'!AN35),IF($K$14="575-600",IF($K$15="Yes",'Data Tables'!AM35,'Data Tables'!AN35),IF($K$14="600-625",IF($K$15="Yes",'Data Tables'!AS35,'Data Tables'!AT35),IF($K$14="625-650",IF($K$15="Yes",'Data Tables'!AS35,'Data Tables'!AT35),IF($K$14="650-675",IF($K$15="Yes",'Data Tables'!AS35,'Data Tables'!AT35),IF($K$14="675-700",IF($K$15="Yes",'Data Tables'!AS35,'Data Tables'!AT35),IF($K$14="700-750",IF($K$15="Yes",'Data Tables'!AY35,'Data Tables'!AZ35),IF($K$14="750-800",IF($K$15="Yes",'Data Tables'!AY35,'Data Tables'!AZ35),IF($K$14="800-850",IF($K$15="Yes",'Data Tables'!AY35,'Data Tables'!AZ35),IF($K$15="Yes",'Data Tables'!AY35,'Data Tables'!AZ35)))))))))),IF($K$13="Impermeable - drained for arable",IF($K$14="550-575",IF($K$15="Yes",'Data Tables'!AO35,'Data Tables'!AP35),IF($K$14="575-600",IF($K$15="Yes",'Data Tables'!AO35,'Data Tables'!AP35),IF($K$14="600-625",IF($K$15="Yes",'Data Tables'!AU35,'Data Tables'!AV35),IF($K$14="625-650",IF($K$15="Yes",'Data Tables'!AU35,'Data Tables'!AV35),IF($K$14="650-675",IF($K$15="Yes",'Data Tables'!AU35,'Data Tables'!AV35),IF($K$14="675-700",IF($K$15="Yes",'Data Tables'!AU35,'Data Tables'!AV35),IF($K$14="700-750",IF($K$15="Yes",'Data Tables'!BA35,'Data Tables'!BB35),IF($K$14="750-800",IF($K$15="Yes",'Data Tables'!BA35,'Data Tables'!BB35),IF($K$14="800-850",IF($K$15="Yes",'Data Tables'!BA35,'Data Tables'!BB35),IF($K$15="Yes",'Data Tables'!BA35,'Data Tables'!BB35)))))))))),IF($K$14="550-575",IF($K$15="Yes",'Data Tables'!AQ35,'Data Tables'!AR35),IF($K$14="575-600",IF($K$15="Yes",'Data Tables'!AQ35,'Data Tables'!AR35),IF($K$14="600-625",IF($K$15="Yes",'Data Tables'!AW35,'Data Tables'!AX35),IF($K$14="625-650",IF($K$15="Yes",'Data Tables'!AW35,'Data Tables'!AX35),IF($K$14="650-675",IF($K$15="Yes",'Data Tables'!AW35,'Data Tables'!AX35),IF($K$14="675-700",IF($K$15="Yes",'Data Tables'!AW35,'Data Tables'!AX35),IF($K$14="700-750",IF($K$15="Yes",'Data Tables'!BC35,'Data Tables'!BD35),IF($K$14="750-800",IF($K$15="Yes",'Data Tables'!BC35,'Data Tables'!BD35),IF($K$14="800-850",IF($K$15="Yes",'Data Tables'!BC35,'Data Tables'!BD35),IF($K$15="Yes",'Data Tables'!BC35,'Data Tables'!BD35))))))))))))))))</f>
        <v>0</v>
      </c>
      <c r="R35" s="282"/>
      <c r="S35" s="49" t="s">
        <v>324</v>
      </c>
      <c r="T35" s="6"/>
      <c r="V35" s="110"/>
      <c r="W35" s="13"/>
      <c r="X35" s="13"/>
      <c r="Y35" s="13"/>
      <c r="Z35" s="13"/>
      <c r="AA35" s="13"/>
      <c r="AB35" s="13"/>
      <c r="AC35" s="13"/>
      <c r="AD35" s="13"/>
      <c r="AE35" s="13"/>
      <c r="AF35" s="13"/>
      <c r="AG35" s="13"/>
      <c r="AH35" s="13"/>
    </row>
    <row r="36" spans="2:22" ht="14.7" customHeight="1">
      <c r="B36" s="4"/>
      <c r="C36" s="42"/>
      <c r="D36" s="222"/>
      <c r="E36" s="49"/>
      <c r="F36" s="138" t="s">
        <v>328</v>
      </c>
      <c r="G36" s="138"/>
      <c r="H36" s="138"/>
      <c r="I36" s="138"/>
      <c r="J36" s="138"/>
      <c r="K36" s="276"/>
      <c r="L36" s="235" t="s">
        <v>323</v>
      </c>
      <c r="M36" s="49"/>
      <c r="N36" s="49"/>
      <c r="O36" s="279">
        <f>K36*'Data Tables'!O5</f>
        <v>0</v>
      </c>
      <c r="P36" s="283"/>
      <c r="Q36" s="279">
        <f>K36*'Data Tables'!P5</f>
        <v>0</v>
      </c>
      <c r="R36" s="280"/>
      <c r="S36" s="49" t="s">
        <v>324</v>
      </c>
      <c r="T36" s="6"/>
      <c r="V36" s="110"/>
    </row>
    <row r="37" spans="2:20" ht="14.7" customHeight="1">
      <c r="B37" s="4"/>
      <c r="C37" s="42"/>
      <c r="D37" s="222"/>
      <c r="E37" s="49"/>
      <c r="F37" s="138" t="s">
        <v>73</v>
      </c>
      <c r="G37" s="138"/>
      <c r="H37" s="138"/>
      <c r="I37" s="138"/>
      <c r="J37" s="138"/>
      <c r="K37" s="276"/>
      <c r="L37" s="235" t="s">
        <v>323</v>
      </c>
      <c r="M37" s="49"/>
      <c r="N37" s="49"/>
      <c r="O37" s="279">
        <f>K37*'Data Tables'!O4</f>
        <v>0</v>
      </c>
      <c r="P37" s="283"/>
      <c r="Q37" s="279">
        <f>K37*'Data Tables'!P4</f>
        <v>0</v>
      </c>
      <c r="R37" s="280"/>
      <c r="S37" s="49" t="s">
        <v>324</v>
      </c>
      <c r="T37" s="6"/>
    </row>
    <row r="38" spans="2:34" ht="14.7" customHeight="1">
      <c r="B38" s="4"/>
      <c r="C38" s="42"/>
      <c r="D38" s="222"/>
      <c r="E38" s="49"/>
      <c r="F38" s="138" t="s">
        <v>329</v>
      </c>
      <c r="G38" s="138"/>
      <c r="H38" s="138"/>
      <c r="I38" s="138"/>
      <c r="J38" s="138"/>
      <c r="K38" s="276"/>
      <c r="L38" s="235" t="s">
        <v>323</v>
      </c>
      <c r="M38" s="49"/>
      <c r="N38" s="49"/>
      <c r="O38" s="279">
        <f>K38*'Data Tables'!O6</f>
        <v>0</v>
      </c>
      <c r="P38" s="283"/>
      <c r="Q38" s="279">
        <f>K38*'Data Tables'!P6</f>
        <v>0</v>
      </c>
      <c r="R38" s="280"/>
      <c r="S38" s="49" t="s">
        <v>324</v>
      </c>
      <c r="T38" s="6"/>
      <c r="W38" s="352"/>
      <c r="X38" s="352"/>
      <c r="Y38" s="352"/>
      <c r="Z38" s="352"/>
      <c r="AA38" s="352"/>
      <c r="AB38" s="352"/>
      <c r="AC38" s="352"/>
      <c r="AD38" s="352"/>
      <c r="AE38" s="352"/>
      <c r="AF38" s="352"/>
      <c r="AG38" s="352"/>
      <c r="AH38" s="352"/>
    </row>
    <row r="39" spans="2:35" ht="14.7" customHeight="1">
      <c r="B39" s="4"/>
      <c r="C39" s="42"/>
      <c r="D39" s="222"/>
      <c r="E39" s="49"/>
      <c r="F39" s="138" t="s">
        <v>79</v>
      </c>
      <c r="G39" s="138"/>
      <c r="H39" s="138"/>
      <c r="I39" s="138"/>
      <c r="J39" s="138"/>
      <c r="K39" s="276"/>
      <c r="L39" s="235" t="s">
        <v>323</v>
      </c>
      <c r="M39" s="49"/>
      <c r="N39" s="49"/>
      <c r="O39" s="279">
        <f>K39*'Data Tables'!O7</f>
        <v>0</v>
      </c>
      <c r="P39" s="283"/>
      <c r="Q39" s="279">
        <f>K39*'Data Tables'!P7</f>
        <v>0</v>
      </c>
      <c r="R39" s="280"/>
      <c r="S39" s="49" t="s">
        <v>324</v>
      </c>
      <c r="T39" s="6"/>
      <c r="W39" s="73"/>
      <c r="X39" s="73"/>
      <c r="Y39" s="73"/>
      <c r="Z39" s="73"/>
      <c r="AA39" s="73"/>
      <c r="AB39" s="73"/>
      <c r="AC39" s="73"/>
      <c r="AD39" s="73"/>
      <c r="AE39" s="73"/>
      <c r="AF39" s="73"/>
      <c r="AG39" s="73"/>
      <c r="AH39" s="73"/>
      <c r="AI39" s="73"/>
    </row>
    <row r="40" spans="2:34" ht="7.5" customHeight="1">
      <c r="B40" s="4"/>
      <c r="C40" s="42"/>
      <c r="D40" s="222"/>
      <c r="E40" s="49"/>
      <c r="F40" s="241" t="s">
        <v>330</v>
      </c>
      <c r="G40" s="241"/>
      <c r="H40" s="241"/>
      <c r="I40" s="241"/>
      <c r="J40" s="241"/>
      <c r="K40" s="49"/>
      <c r="L40" s="235"/>
      <c r="M40" s="49"/>
      <c r="N40" s="49"/>
      <c r="O40" s="49"/>
      <c r="P40" s="49"/>
      <c r="Q40" s="49"/>
      <c r="R40" s="280"/>
      <c r="S40" s="49"/>
      <c r="T40" s="6"/>
      <c r="W40" s="13"/>
      <c r="X40" s="13"/>
      <c r="Y40" s="13"/>
      <c r="Z40" s="13"/>
      <c r="AA40" s="13"/>
      <c r="AB40" s="13"/>
      <c r="AC40" s="13"/>
      <c r="AD40" s="13"/>
      <c r="AE40" s="13"/>
      <c r="AF40" s="13"/>
      <c r="AG40" s="13"/>
      <c r="AH40" s="13"/>
    </row>
    <row r="41" spans="2:34" ht="15.6">
      <c r="B41" s="4"/>
      <c r="C41" s="42"/>
      <c r="D41" s="222"/>
      <c r="E41" s="49"/>
      <c r="F41" s="241"/>
      <c r="G41" s="241"/>
      <c r="H41" s="241"/>
      <c r="I41" s="241"/>
      <c r="J41" s="241"/>
      <c r="K41" s="284">
        <f>SUM(K22:K39)</f>
        <v>0</v>
      </c>
      <c r="L41" s="241" t="s">
        <v>323</v>
      </c>
      <c r="M41" s="49"/>
      <c r="N41" s="49"/>
      <c r="O41" s="285">
        <f>SUM(O22:O39)</f>
        <v>0</v>
      </c>
      <c r="P41" s="49"/>
      <c r="Q41" s="285">
        <f>SUM(Q22:Q39)</f>
        <v>0</v>
      </c>
      <c r="R41" s="286"/>
      <c r="S41" s="38" t="s">
        <v>324</v>
      </c>
      <c r="T41" s="6"/>
      <c r="W41" s="13"/>
      <c r="X41" s="13"/>
      <c r="Y41" s="13"/>
      <c r="Z41" s="13"/>
      <c r="AA41" s="13"/>
      <c r="AB41" s="13"/>
      <c r="AC41" s="13"/>
      <c r="AD41" s="13"/>
      <c r="AE41" s="13"/>
      <c r="AF41" s="13"/>
      <c r="AG41" s="13"/>
      <c r="AH41" s="13"/>
    </row>
    <row r="42" spans="2:34" ht="15.6">
      <c r="B42" s="4"/>
      <c r="C42" s="42"/>
      <c r="D42" s="222"/>
      <c r="E42" s="49"/>
      <c r="F42" s="49"/>
      <c r="G42" s="49"/>
      <c r="H42" s="49"/>
      <c r="I42" s="49"/>
      <c r="J42" s="49"/>
      <c r="K42" s="49"/>
      <c r="L42" s="49"/>
      <c r="M42" s="49"/>
      <c r="N42" s="49"/>
      <c r="O42" s="49"/>
      <c r="P42" s="49"/>
      <c r="Q42" s="49"/>
      <c r="R42" s="49"/>
      <c r="S42" s="49"/>
      <c r="T42" s="6"/>
      <c r="V42" s="13"/>
      <c r="W42" s="13"/>
      <c r="X42" s="13"/>
      <c r="Y42" s="13"/>
      <c r="Z42" s="13"/>
      <c r="AA42" s="13"/>
      <c r="AB42" s="13"/>
      <c r="AC42" s="13"/>
      <c r="AD42" s="13"/>
      <c r="AE42" s="13"/>
      <c r="AF42" s="13"/>
      <c r="AG42" s="13"/>
      <c r="AH42" s="13"/>
    </row>
    <row r="43" spans="2:34" ht="8.1" customHeight="1">
      <c r="B43" s="4"/>
      <c r="C43" s="42"/>
      <c r="D43" s="222"/>
      <c r="E43" s="264"/>
      <c r="F43" s="264"/>
      <c r="G43" s="264"/>
      <c r="H43" s="264"/>
      <c r="I43" s="264"/>
      <c r="J43" s="264"/>
      <c r="K43" s="264"/>
      <c r="L43" s="264"/>
      <c r="M43" s="264"/>
      <c r="N43" s="264"/>
      <c r="O43" s="264"/>
      <c r="P43" s="264"/>
      <c r="Q43" s="264"/>
      <c r="R43" s="264"/>
      <c r="S43" s="264"/>
      <c r="T43" s="6"/>
      <c r="W43" s="13"/>
      <c r="X43" s="13"/>
      <c r="Y43" s="13"/>
      <c r="Z43" s="13"/>
      <c r="AA43" s="13"/>
      <c r="AB43" s="13"/>
      <c r="AC43" s="13"/>
      <c r="AD43" s="13"/>
      <c r="AE43" s="13"/>
      <c r="AF43" s="13"/>
      <c r="AG43" s="13"/>
      <c r="AH43" s="13"/>
    </row>
    <row r="44" spans="2:34" ht="23.7" customHeight="1">
      <c r="B44" s="4"/>
      <c r="C44" s="42"/>
      <c r="D44" s="222"/>
      <c r="E44" s="48" t="s">
        <v>331</v>
      </c>
      <c r="F44" s="49" t="s">
        <v>332</v>
      </c>
      <c r="G44" s="49"/>
      <c r="H44" s="49"/>
      <c r="I44" s="49"/>
      <c r="J44" s="49"/>
      <c r="K44" s="232"/>
      <c r="L44" s="232"/>
      <c r="M44" s="232"/>
      <c r="N44" s="232"/>
      <c r="O44" s="232"/>
      <c r="P44" s="232"/>
      <c r="Q44" s="232"/>
      <c r="R44" s="232"/>
      <c r="S44" s="232"/>
      <c r="T44" s="6"/>
      <c r="W44" s="13"/>
      <c r="X44" s="13"/>
      <c r="Y44" s="13"/>
      <c r="Z44" s="13"/>
      <c r="AA44" s="13"/>
      <c r="AB44" s="13"/>
      <c r="AC44" s="13"/>
      <c r="AD44" s="13"/>
      <c r="AE44" s="13"/>
      <c r="AF44" s="13"/>
      <c r="AG44" s="13"/>
      <c r="AH44" s="13"/>
    </row>
    <row r="45" spans="2:34" ht="11.7" customHeight="1">
      <c r="B45" s="4"/>
      <c r="C45" s="42"/>
      <c r="D45" s="222"/>
      <c r="E45" s="48"/>
      <c r="F45" s="49"/>
      <c r="G45" s="49"/>
      <c r="H45" s="49"/>
      <c r="I45" s="49"/>
      <c r="J45" s="49"/>
      <c r="K45" s="140" t="s">
        <v>240</v>
      </c>
      <c r="L45" s="140" t="s">
        <v>241</v>
      </c>
      <c r="M45" s="232"/>
      <c r="N45" s="232"/>
      <c r="O45" s="232"/>
      <c r="P45" s="232"/>
      <c r="Q45" s="232"/>
      <c r="R45" s="232"/>
      <c r="S45" s="232"/>
      <c r="T45" s="6"/>
      <c r="W45" s="13"/>
      <c r="X45" s="13"/>
      <c r="Y45" s="13"/>
      <c r="Z45" s="13"/>
      <c r="AA45" s="13"/>
      <c r="AB45" s="13"/>
      <c r="AC45" s="13"/>
      <c r="AD45" s="13"/>
      <c r="AE45" s="13"/>
      <c r="AF45" s="13"/>
      <c r="AG45" s="13"/>
      <c r="AH45" s="13"/>
    </row>
    <row r="46" spans="2:20" ht="15" customHeight="1">
      <c r="B46" s="4"/>
      <c r="C46" s="42"/>
      <c r="D46" s="222"/>
      <c r="E46" s="49"/>
      <c r="F46" s="142" t="s">
        <v>333</v>
      </c>
      <c r="G46" s="142"/>
      <c r="H46" s="142"/>
      <c r="I46" s="142"/>
      <c r="J46" s="142"/>
      <c r="K46" s="287">
        <f>O41</f>
        <v>0</v>
      </c>
      <c r="L46" s="241" t="s">
        <v>324</v>
      </c>
      <c r="M46" s="222"/>
      <c r="N46" s="222"/>
      <c r="O46" s="222"/>
      <c r="P46" s="222"/>
      <c r="Q46" s="222"/>
      <c r="R46" s="222"/>
      <c r="S46" s="222"/>
      <c r="T46" s="6"/>
    </row>
    <row r="47" spans="2:20" ht="6" customHeight="1">
      <c r="B47" s="4"/>
      <c r="C47" s="42"/>
      <c r="D47" s="222"/>
      <c r="E47" s="49"/>
      <c r="F47" s="142"/>
      <c r="G47" s="142"/>
      <c r="H47" s="142"/>
      <c r="I47" s="142"/>
      <c r="J47" s="142"/>
      <c r="K47" s="225"/>
      <c r="L47" s="288"/>
      <c r="M47" s="222"/>
      <c r="N47" s="222"/>
      <c r="O47" s="222"/>
      <c r="P47" s="222"/>
      <c r="Q47" s="222"/>
      <c r="R47" s="222"/>
      <c r="S47" s="222"/>
      <c r="T47" s="6"/>
    </row>
    <row r="48" spans="2:20" ht="15.6" customHeight="1">
      <c r="B48" s="4"/>
      <c r="C48" s="42"/>
      <c r="D48" s="222"/>
      <c r="E48" s="49"/>
      <c r="F48" s="142" t="s">
        <v>334</v>
      </c>
      <c r="G48" s="142"/>
      <c r="H48" s="142"/>
      <c r="I48" s="142"/>
      <c r="J48" s="142"/>
      <c r="K48" s="287">
        <f>Q41</f>
        <v>0</v>
      </c>
      <c r="L48" s="241" t="s">
        <v>324</v>
      </c>
      <c r="M48" s="222"/>
      <c r="N48" s="222"/>
      <c r="O48" s="222"/>
      <c r="P48" s="222"/>
      <c r="Q48" s="222"/>
      <c r="R48" s="222"/>
      <c r="S48" s="222"/>
      <c r="T48" s="6"/>
    </row>
    <row r="49" spans="2:20" ht="7.5" customHeight="1">
      <c r="B49" s="4"/>
      <c r="C49" s="42"/>
      <c r="D49" s="42"/>
      <c r="E49" s="39"/>
      <c r="F49" s="72"/>
      <c r="G49" s="72"/>
      <c r="H49" s="72"/>
      <c r="I49" s="72"/>
      <c r="J49" s="72"/>
      <c r="K49" s="42"/>
      <c r="L49" s="42"/>
      <c r="M49" s="42"/>
      <c r="N49" s="42"/>
      <c r="O49" s="42"/>
      <c r="P49" s="42"/>
      <c r="Q49" s="42"/>
      <c r="R49" s="42"/>
      <c r="S49" s="42"/>
      <c r="T49" s="6"/>
    </row>
    <row r="50" spans="2:20" ht="3" customHeight="1" thickBot="1">
      <c r="B50" s="7"/>
      <c r="C50" s="51"/>
      <c r="D50" s="51"/>
      <c r="E50" s="56"/>
      <c r="F50" s="108"/>
      <c r="G50" s="108"/>
      <c r="H50" s="108"/>
      <c r="I50" s="108"/>
      <c r="J50" s="108"/>
      <c r="K50" s="51"/>
      <c r="L50" s="51"/>
      <c r="M50" s="51"/>
      <c r="N50" s="51"/>
      <c r="O50" s="51"/>
      <c r="P50" s="51"/>
      <c r="Q50" s="51"/>
      <c r="R50" s="51"/>
      <c r="S50" s="51"/>
      <c r="T50" s="9"/>
    </row>
  </sheetData>
  <sheetProtection algorithmName="SHA-512" hashValue="4fH7qE7L3KLS1j0uK5jBQFytmlml5VMeQEPa/KJtW4ppfOHjDMx/CDfkwz5xjtjNK2brThHoBJr1mK7zFrlySA==" saltValue="HnRjEtRvqzZZ+cEzBaZ15A==" spinCount="100000" sheet="1" selectLockedCells="1"/>
  <mergeCells count="38">
    <mergeCell ref="AC22:AH22"/>
    <mergeCell ref="AC23:AD23"/>
    <mergeCell ref="AE23:AF23"/>
    <mergeCell ref="AG23:AH23"/>
    <mergeCell ref="F3:M3"/>
    <mergeCell ref="F22:J22"/>
    <mergeCell ref="F23:J23"/>
    <mergeCell ref="E4:S6"/>
    <mergeCell ref="D10:S10"/>
    <mergeCell ref="F24:J24"/>
    <mergeCell ref="F13:J13"/>
    <mergeCell ref="F8:J8"/>
    <mergeCell ref="F12:J12"/>
    <mergeCell ref="F14:J14"/>
    <mergeCell ref="F15:J15"/>
    <mergeCell ref="E18:S18"/>
    <mergeCell ref="E20:S20"/>
    <mergeCell ref="E17:S17"/>
    <mergeCell ref="E19:S19"/>
    <mergeCell ref="F25:J25"/>
    <mergeCell ref="F38:J38"/>
    <mergeCell ref="F27:J27"/>
    <mergeCell ref="F29:J29"/>
    <mergeCell ref="F30:J30"/>
    <mergeCell ref="F31:J31"/>
    <mergeCell ref="F26:J26"/>
    <mergeCell ref="F33:J33"/>
    <mergeCell ref="F34:J34"/>
    <mergeCell ref="F36:J36"/>
    <mergeCell ref="F32:J32"/>
    <mergeCell ref="F35:J35"/>
    <mergeCell ref="F37:J37"/>
    <mergeCell ref="F48:J48"/>
    <mergeCell ref="F28:J28"/>
    <mergeCell ref="F46:J46"/>
    <mergeCell ref="F47:J47"/>
    <mergeCell ref="F40:J41"/>
    <mergeCell ref="F39:J39"/>
  </mergeCells>
  <dataValidations count="4">
    <dataValidation type="list" allowBlank="1" showInputMessage="1" showErrorMessage="1" sqref="K14">
      <formula1>"550-575,575-600,600-625,625-650,650-675,675-700,700-750,750-800,800-850,850-900"</formula1>
    </dataValidation>
    <dataValidation type="list" allowBlank="1" showInputMessage="1" showErrorMessage="1" sqref="K15">
      <formula1>"Yes,No"</formula1>
    </dataValidation>
    <dataValidation type="list" allowBlank="1" showInputMessage="1" showErrorMessage="1" sqref="K13">
      <formula1>"Freely draining, Impermeable - drained for arable, Impermeable - drained for arable and grassland"</formula1>
    </dataValidation>
    <dataValidation type="list" allowBlank="1" showInputMessage="1" showErrorMessage="1" sqref="K12">
      <formula1>"Wensum, Yare, Bure"</formula1>
    </dataValidation>
  </dataValidations>
  <hyperlinks>
    <hyperlink ref="E18:M18" location="Help!C98" display="Note: Use the criteria table in the introduction tab to identify if the soil type"/>
    <hyperlink ref="E18:S18" location="Introduction!C180" display="Note: Use the criteria table in the introduction tab to identify if the soil type"/>
    <hyperlink ref="E17:S17" location="Introduction!C198" display="Note: Use the Link in the introduction tab to find the appropriate catchment"/>
    <hyperlink ref="E20:S20" location="Introduction!C204" display="Note: Use the Link in the introduction tab to find out whether the development is in a Nitrate Vulnerable Zone (NVZ)"/>
    <hyperlink ref="E19:S19" location="Rainfall!A1" display="Note: Rainfall can be identified using the map on the Rainfall tab"/>
  </hyperlinks>
  <pageMargins left="0.70866141732283472" right="0.70866141732283472" top="0.74803149606299213" bottom="0.74803149606299213" header="0.31496062992125984" footer="0.31496062992125984"/>
  <pageSetup paperSize="9" scale="70" orientation="portrait"/>
  <headerFooter scaleWithDoc="1" alignWithMargins="1" differentFirst="0" differentOddEven="0">
    <oddHeader>&amp;LPhosphate Budget Calculator&amp;CStage 2</oddHeader>
    <oddFooter>&amp;LVersion 2.2&amp;R&amp;D</oddFooter>
  </headerFooter>
  <customProperties>
    <customPr name="SSC_SHEET_GUID" r:id="rId2"/>
  </customProperties>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Z40"/>
  <sheetViews>
    <sheetView topLeftCell="A11" zoomScale="115" view="normal" workbookViewId="0">
      <selection pane="topLeft" activeCell="K11" sqref="K11"/>
    </sheetView>
  </sheetViews>
  <sheetFormatPr defaultRowHeight="13.2"/>
  <cols>
    <col min="2" max="3" width="0.70703125" customWidth="1"/>
    <col min="4" max="4" width="2.27734375" customWidth="1"/>
    <col min="5" max="5" width="8.27734375" customWidth="1"/>
    <col min="9" max="10" width="12.27734375" customWidth="1"/>
    <col min="11" max="11" width="9.7109375" customWidth="1"/>
    <col min="12" max="12" width="12.5703125" customWidth="1"/>
    <col min="13" max="13" width="5.41796875" customWidth="1"/>
    <col min="14" max="14" width="0.70703125" customWidth="1"/>
  </cols>
  <sheetData>
    <row r="1" spans="1:1" ht="14.4" thickBot="1">
      <c r="A1" s="40" t="s">
        <v>27</v>
      </c>
    </row>
    <row r="2" spans="2:14" ht="3.6" customHeight="1">
      <c r="B2" s="1"/>
      <c r="C2" s="2"/>
      <c r="D2" s="2"/>
      <c r="E2" s="2"/>
      <c r="F2" s="2"/>
      <c r="G2" s="2"/>
      <c r="H2" s="2"/>
      <c r="I2" s="2"/>
      <c r="J2" s="2"/>
      <c r="K2" s="2"/>
      <c r="L2" s="2"/>
      <c r="M2" s="2"/>
      <c r="N2" s="3"/>
    </row>
    <row r="3" spans="2:14" ht="28.5" customHeight="1">
      <c r="B3" s="46"/>
      <c r="C3" s="224"/>
      <c r="D3" s="68"/>
      <c r="E3" s="192" t="s">
        <v>27</v>
      </c>
      <c r="F3" s="229" t="s">
        <v>335</v>
      </c>
      <c r="G3" s="229"/>
      <c r="H3" s="229"/>
      <c r="I3" s="229"/>
      <c r="J3" s="229"/>
      <c r="K3" s="229"/>
      <c r="L3" s="229"/>
      <c r="M3" s="229"/>
      <c r="N3" s="6"/>
    </row>
    <row r="4" spans="2:14" ht="12.6" customHeight="1">
      <c r="B4" s="46"/>
      <c r="C4" s="273"/>
      <c r="D4" s="141"/>
      <c r="E4" s="232" t="s">
        <v>336</v>
      </c>
      <c r="F4" s="232"/>
      <c r="G4" s="232"/>
      <c r="H4" s="232"/>
      <c r="I4" s="232"/>
      <c r="J4" s="232"/>
      <c r="K4" s="232"/>
      <c r="L4" s="232"/>
      <c r="M4" s="232"/>
      <c r="N4" s="6"/>
    </row>
    <row r="5" spans="2:14" ht="15.6">
      <c r="B5" s="46"/>
      <c r="C5" s="273"/>
      <c r="D5" s="141"/>
      <c r="E5" s="232"/>
      <c r="F5" s="232"/>
      <c r="G5" s="232"/>
      <c r="H5" s="232"/>
      <c r="I5" s="232"/>
      <c r="J5" s="232"/>
      <c r="K5" s="232"/>
      <c r="L5" s="232"/>
      <c r="M5" s="232"/>
      <c r="N5" s="6"/>
    </row>
    <row r="6" spans="2:14" ht="50.1" customHeight="1">
      <c r="B6" s="46"/>
      <c r="C6" s="222"/>
      <c r="D6" s="49"/>
      <c r="E6" s="232"/>
      <c r="F6" s="232"/>
      <c r="G6" s="232"/>
      <c r="H6" s="232"/>
      <c r="I6" s="232"/>
      <c r="J6" s="232"/>
      <c r="K6" s="232"/>
      <c r="L6" s="232"/>
      <c r="M6" s="232"/>
      <c r="N6" s="6"/>
    </row>
    <row r="7" spans="2:14" ht="7.2" customHeight="1">
      <c r="B7" s="46"/>
      <c r="C7" s="222"/>
      <c r="D7" s="253"/>
      <c r="E7" s="253"/>
      <c r="F7" s="253"/>
      <c r="G7" s="253"/>
      <c r="H7" s="253"/>
      <c r="I7" s="253"/>
      <c r="J7" s="253"/>
      <c r="K7" s="253"/>
      <c r="L7" s="253"/>
      <c r="M7" s="253"/>
      <c r="N7" s="6"/>
    </row>
    <row r="8" spans="2:14" ht="15.6">
      <c r="B8" s="46"/>
      <c r="C8" s="222"/>
      <c r="D8" s="49"/>
      <c r="E8" s="48" t="s">
        <v>238</v>
      </c>
      <c r="F8" s="138" t="s">
        <v>337</v>
      </c>
      <c r="G8" s="138"/>
      <c r="H8" s="138"/>
      <c r="I8" s="138"/>
      <c r="J8" s="138"/>
      <c r="K8" s="140" t="s">
        <v>240</v>
      </c>
      <c r="L8" s="140" t="s">
        <v>241</v>
      </c>
      <c r="M8" s="49"/>
      <c r="N8" s="6"/>
    </row>
    <row r="9" spans="2:14" ht="12.6" customHeight="1">
      <c r="B9" s="46"/>
      <c r="C9" s="222"/>
      <c r="D9" s="49"/>
      <c r="E9" s="48"/>
      <c r="F9" s="49"/>
      <c r="G9" s="49"/>
      <c r="H9" s="49"/>
      <c r="I9" s="49"/>
      <c r="J9" s="49"/>
      <c r="K9" s="140"/>
      <c r="L9" s="140"/>
      <c r="M9" s="49"/>
      <c r="N9" s="6"/>
    </row>
    <row r="10" spans="2:14" ht="14.1" customHeight="1">
      <c r="B10" s="46"/>
      <c r="C10" s="222"/>
      <c r="D10" s="49"/>
      <c r="E10" s="48"/>
      <c r="F10" s="49" t="s">
        <v>338</v>
      </c>
      <c r="G10" s="49"/>
      <c r="H10" s="49"/>
      <c r="I10" s="49"/>
      <c r="J10" s="49"/>
      <c r="K10" s="276"/>
      <c r="L10" s="235" t="s">
        <v>323</v>
      </c>
      <c r="M10" s="49"/>
      <c r="N10" s="6"/>
    </row>
    <row r="11" spans="2:14" customHeight="1">
      <c r="B11" s="46"/>
      <c r="C11" s="222"/>
      <c r="D11" s="49"/>
      <c r="E11" s="48"/>
      <c r="F11" s="49" t="s">
        <v>339</v>
      </c>
      <c r="G11" s="49"/>
      <c r="H11" s="49"/>
      <c r="I11" s="49"/>
      <c r="J11" s="49"/>
      <c r="K11" s="276"/>
      <c r="L11" s="235" t="s">
        <v>323</v>
      </c>
      <c r="M11" s="49"/>
      <c r="N11" s="6"/>
    </row>
    <row r="12" spans="2:14" ht="15.6" customHeight="1">
      <c r="B12" s="46"/>
      <c r="C12" s="222"/>
      <c r="D12" s="49"/>
      <c r="E12" s="48"/>
      <c r="F12" s="49" t="s">
        <v>340</v>
      </c>
      <c r="G12" s="49"/>
      <c r="H12" s="49"/>
      <c r="I12" s="49"/>
      <c r="J12" s="49"/>
      <c r="K12" s="276"/>
      <c r="L12" s="235" t="s">
        <v>323</v>
      </c>
      <c r="M12" s="49"/>
      <c r="N12" s="6"/>
    </row>
    <row r="13" spans="2:14" ht="15" customHeight="1">
      <c r="B13" s="46"/>
      <c r="C13" s="222"/>
      <c r="D13" s="49"/>
      <c r="E13" s="49"/>
      <c r="F13" s="138" t="s">
        <v>341</v>
      </c>
      <c r="G13" s="138"/>
      <c r="H13" s="138"/>
      <c r="I13" s="138"/>
      <c r="J13" s="138"/>
      <c r="K13" s="276"/>
      <c r="L13" s="235" t="s">
        <v>323</v>
      </c>
      <c r="M13" s="49"/>
      <c r="N13" s="6"/>
    </row>
    <row r="14" spans="2:26" ht="15" customHeight="1">
      <c r="B14" s="46"/>
      <c r="C14" s="222"/>
      <c r="D14" s="49"/>
      <c r="E14" s="49"/>
      <c r="F14" s="138" t="s">
        <v>342</v>
      </c>
      <c r="G14" s="138"/>
      <c r="H14" s="138"/>
      <c r="I14" s="138"/>
      <c r="J14" s="138"/>
      <c r="K14" s="276"/>
      <c r="L14" s="235" t="s">
        <v>323</v>
      </c>
      <c r="M14" s="49"/>
      <c r="N14" s="6"/>
      <c r="P14" s="13"/>
      <c r="Q14" s="13"/>
      <c r="Z14" s="13"/>
    </row>
    <row r="15" spans="2:17" ht="15" customHeight="1">
      <c r="B15" s="46"/>
      <c r="C15" s="222"/>
      <c r="D15" s="49"/>
      <c r="E15" s="49"/>
      <c r="F15" s="138" t="s">
        <v>343</v>
      </c>
      <c r="G15" s="138"/>
      <c r="H15" s="138"/>
      <c r="I15" s="138"/>
      <c r="J15" s="138"/>
      <c r="K15" s="276"/>
      <c r="L15" s="235" t="s">
        <v>323</v>
      </c>
      <c r="M15" s="49"/>
      <c r="N15" s="6"/>
      <c r="P15" s="13"/>
      <c r="Q15" s="13"/>
    </row>
    <row r="16" spans="2:17" ht="15" customHeight="1">
      <c r="B16" s="46"/>
      <c r="C16" s="222"/>
      <c r="D16" s="49"/>
      <c r="E16" s="49"/>
      <c r="F16" s="138" t="s">
        <v>328</v>
      </c>
      <c r="G16" s="138"/>
      <c r="H16" s="138"/>
      <c r="I16" s="138"/>
      <c r="J16" s="138"/>
      <c r="K16" s="276"/>
      <c r="L16" s="235" t="s">
        <v>323</v>
      </c>
      <c r="M16" s="49"/>
      <c r="N16" s="6"/>
      <c r="P16" s="13"/>
      <c r="Q16" s="13"/>
    </row>
    <row r="17" spans="2:17" ht="15" customHeight="1">
      <c r="B17" s="46"/>
      <c r="C17" s="222"/>
      <c r="D17" s="49"/>
      <c r="E17" s="49"/>
      <c r="F17" s="138" t="s">
        <v>344</v>
      </c>
      <c r="G17" s="138"/>
      <c r="H17" s="138"/>
      <c r="I17" s="138"/>
      <c r="J17" s="138"/>
      <c r="K17" s="276"/>
      <c r="L17" s="235" t="s">
        <v>323</v>
      </c>
      <c r="M17" s="49"/>
      <c r="N17" s="6"/>
      <c r="P17" s="13"/>
      <c r="Q17" s="13"/>
    </row>
    <row r="18" spans="2:17" ht="15" customHeight="1">
      <c r="B18" s="46"/>
      <c r="C18" s="222"/>
      <c r="D18" s="49"/>
      <c r="E18" s="49"/>
      <c r="F18" s="138" t="s">
        <v>329</v>
      </c>
      <c r="G18" s="138"/>
      <c r="H18" s="138"/>
      <c r="I18" s="138"/>
      <c r="J18" s="138"/>
      <c r="K18" s="276"/>
      <c r="L18" s="235" t="s">
        <v>323</v>
      </c>
      <c r="M18" s="49"/>
      <c r="N18" s="6"/>
      <c r="P18" s="13"/>
      <c r="Q18" s="13"/>
    </row>
    <row r="19" spans="2:14" ht="15" customHeight="1">
      <c r="B19" s="46"/>
      <c r="C19" s="222"/>
      <c r="D19" s="49"/>
      <c r="E19" s="49"/>
      <c r="F19" s="138" t="s">
        <v>79</v>
      </c>
      <c r="G19" s="138"/>
      <c r="H19" s="138"/>
      <c r="I19" s="138"/>
      <c r="J19" s="138"/>
      <c r="K19" s="276"/>
      <c r="L19" s="235" t="s">
        <v>323</v>
      </c>
      <c r="M19" s="49"/>
      <c r="N19" s="6"/>
    </row>
    <row r="20" spans="2:14" ht="7.2" customHeight="1">
      <c r="B20" s="46"/>
      <c r="C20" s="222"/>
      <c r="D20" s="49"/>
      <c r="E20" s="49"/>
      <c r="F20" s="49"/>
      <c r="G20" s="49"/>
      <c r="H20" s="49"/>
      <c r="I20" s="49"/>
      <c r="J20" s="49"/>
      <c r="K20" s="49"/>
      <c r="L20" s="49"/>
      <c r="M20" s="49"/>
      <c r="N20" s="6"/>
    </row>
    <row r="21" spans="2:14" ht="5.7" customHeight="1">
      <c r="B21" s="46"/>
      <c r="C21" s="222"/>
      <c r="D21" s="242"/>
      <c r="E21" s="242"/>
      <c r="F21" s="242"/>
      <c r="G21" s="242"/>
      <c r="H21" s="242"/>
      <c r="I21" s="242"/>
      <c r="J21" s="242"/>
      <c r="K21" s="242"/>
      <c r="L21" s="242"/>
      <c r="M21" s="242"/>
      <c r="N21" s="6"/>
    </row>
    <row r="22" spans="2:14" ht="4.2" customHeight="1">
      <c r="B22" s="46"/>
      <c r="C22" s="222"/>
      <c r="D22" s="49"/>
      <c r="E22" s="49"/>
      <c r="F22" s="49"/>
      <c r="G22" s="49"/>
      <c r="H22" s="49"/>
      <c r="I22" s="49"/>
      <c r="J22" s="49"/>
      <c r="K22" s="49"/>
      <c r="L22" s="49"/>
      <c r="M22" s="49"/>
      <c r="N22" s="6"/>
    </row>
    <row r="23" spans="2:14" ht="14.1" customHeight="1">
      <c r="B23" s="46"/>
      <c r="C23" s="222"/>
      <c r="D23" s="49"/>
      <c r="E23" s="48" t="s">
        <v>259</v>
      </c>
      <c r="F23" s="138" t="s">
        <v>345</v>
      </c>
      <c r="G23" s="138"/>
      <c r="H23" s="138"/>
      <c r="I23" s="138"/>
      <c r="J23" s="138"/>
      <c r="K23" s="49"/>
      <c r="L23" s="49"/>
      <c r="M23" s="49"/>
      <c r="N23" s="6"/>
    </row>
    <row r="24" spans="2:14" ht="4.2" customHeight="1">
      <c r="B24" s="46"/>
      <c r="C24" s="222"/>
      <c r="D24" s="49"/>
      <c r="E24" s="48"/>
      <c r="F24" s="49"/>
      <c r="G24" s="49"/>
      <c r="H24" s="49"/>
      <c r="I24" s="49"/>
      <c r="J24" s="49"/>
      <c r="K24" s="49"/>
      <c r="L24" s="49"/>
      <c r="M24" s="49"/>
      <c r="N24" s="6"/>
    </row>
    <row r="25" spans="2:14" ht="11.1" customHeight="1">
      <c r="B25" s="46"/>
      <c r="C25" s="222"/>
      <c r="D25" s="49"/>
      <c r="E25" s="49"/>
      <c r="F25" s="138" t="s">
        <v>346</v>
      </c>
      <c r="G25" s="138"/>
      <c r="H25" s="138"/>
      <c r="I25" s="138"/>
      <c r="J25" s="138"/>
      <c r="K25" s="233"/>
      <c r="L25" s="235" t="s">
        <v>323</v>
      </c>
      <c r="M25" s="49"/>
      <c r="N25" s="6"/>
    </row>
    <row r="26" spans="2:14" ht="13.5" customHeight="1">
      <c r="B26" s="46"/>
      <c r="C26" s="222"/>
      <c r="D26" s="49"/>
      <c r="E26" s="49"/>
      <c r="F26" s="138" t="s">
        <v>347</v>
      </c>
      <c r="G26" s="138"/>
      <c r="H26" s="138"/>
      <c r="I26" s="138"/>
      <c r="J26" s="138"/>
      <c r="K26" s="233"/>
      <c r="L26" s="235" t="s">
        <v>348</v>
      </c>
      <c r="M26" s="49"/>
      <c r="N26" s="6"/>
    </row>
    <row r="27" spans="2:14" ht="17.1" customHeight="1">
      <c r="B27" s="46"/>
      <c r="C27" s="222"/>
      <c r="D27" s="49"/>
      <c r="E27" s="49"/>
      <c r="F27" s="49" t="s">
        <v>349</v>
      </c>
      <c r="G27" s="49"/>
      <c r="H27" s="49"/>
      <c r="I27" s="49"/>
      <c r="J27" s="49"/>
      <c r="K27" s="233"/>
      <c r="L27" s="235" t="s">
        <v>348</v>
      </c>
      <c r="M27" s="49"/>
      <c r="N27" s="6"/>
    </row>
    <row r="28" spans="2:14" ht="50.1" customHeight="1">
      <c r="B28" s="46"/>
      <c r="C28" s="222"/>
      <c r="D28" s="49"/>
      <c r="E28" s="232" t="s">
        <v>350</v>
      </c>
      <c r="F28" s="232"/>
      <c r="G28" s="232"/>
      <c r="H28" s="232"/>
      <c r="I28" s="232"/>
      <c r="J28" s="232"/>
      <c r="K28" s="232"/>
      <c r="L28" s="232"/>
      <c r="M28" s="232"/>
      <c r="N28" s="6"/>
    </row>
    <row r="29" spans="2:14" ht="6" customHeight="1">
      <c r="B29" s="46"/>
      <c r="C29" s="222"/>
      <c r="D29" s="49"/>
      <c r="E29" s="232"/>
      <c r="F29" s="232"/>
      <c r="G29" s="232"/>
      <c r="H29" s="232"/>
      <c r="I29" s="232"/>
      <c r="J29" s="232"/>
      <c r="K29" s="232"/>
      <c r="L29" s="232"/>
      <c r="M29" s="232"/>
      <c r="N29" s="6"/>
    </row>
    <row r="30" spans="2:14" ht="13.5" customHeight="1">
      <c r="B30" s="46"/>
      <c r="C30" s="222"/>
      <c r="D30" s="49"/>
      <c r="E30" s="49"/>
      <c r="F30" s="142" t="s">
        <v>351</v>
      </c>
      <c r="G30" s="142"/>
      <c r="H30" s="142"/>
      <c r="I30" s="142"/>
      <c r="J30" s="142"/>
      <c r="K30" s="284">
        <f>SUM(K10:K19)+K25</f>
        <v>0</v>
      </c>
      <c r="L30" s="241" t="s">
        <v>323</v>
      </c>
      <c r="M30" s="49"/>
      <c r="N30" s="6"/>
    </row>
    <row r="31" spans="2:14" ht="57" customHeight="1">
      <c r="B31" s="46"/>
      <c r="C31" s="222"/>
      <c r="D31" s="49"/>
      <c r="E31" s="232" t="s">
        <v>352</v>
      </c>
      <c r="F31" s="232"/>
      <c r="G31" s="232"/>
      <c r="H31" s="232"/>
      <c r="I31" s="232"/>
      <c r="J31" s="232"/>
      <c r="K31" s="232"/>
      <c r="L31" s="232"/>
      <c r="M31" s="232"/>
      <c r="N31" s="6"/>
    </row>
    <row r="32" spans="2:14" ht="5.7" customHeight="1">
      <c r="B32" s="46"/>
      <c r="C32" s="222"/>
      <c r="D32" s="49"/>
      <c r="E32" s="49"/>
      <c r="F32" s="49"/>
      <c r="G32" s="49"/>
      <c r="H32" s="49"/>
      <c r="I32" s="49"/>
      <c r="J32" s="49"/>
      <c r="K32" s="49"/>
      <c r="L32" s="49"/>
      <c r="M32" s="49"/>
      <c r="N32" s="6"/>
    </row>
    <row r="33" spans="2:14" ht="15.6">
      <c r="B33" s="46"/>
      <c r="C33" s="222"/>
      <c r="D33" s="253"/>
      <c r="E33" s="253"/>
      <c r="F33" s="253"/>
      <c r="G33" s="253"/>
      <c r="H33" s="253"/>
      <c r="I33" s="253"/>
      <c r="J33" s="253"/>
      <c r="K33" s="253"/>
      <c r="L33" s="253"/>
      <c r="M33" s="253"/>
      <c r="N33" s="6"/>
    </row>
    <row r="34" spans="2:14" ht="15.6">
      <c r="B34" s="46"/>
      <c r="C34" s="222"/>
      <c r="D34" s="49"/>
      <c r="E34" s="48" t="s">
        <v>331</v>
      </c>
      <c r="F34" s="138" t="s">
        <v>353</v>
      </c>
      <c r="G34" s="138"/>
      <c r="H34" s="138"/>
      <c r="I34" s="138"/>
      <c r="J34" s="138"/>
      <c r="K34" s="140" t="s">
        <v>240</v>
      </c>
      <c r="L34" s="140" t="s">
        <v>241</v>
      </c>
      <c r="M34" s="49"/>
      <c r="N34" s="6"/>
    </row>
    <row r="35" spans="2:14" ht="4.5" customHeight="1">
      <c r="B35" s="46"/>
      <c r="C35" s="222"/>
      <c r="D35" s="49"/>
      <c r="E35" s="48"/>
      <c r="F35" s="138"/>
      <c r="G35" s="138"/>
      <c r="H35" s="138"/>
      <c r="I35" s="138"/>
      <c r="J35" s="138"/>
      <c r="K35" s="140"/>
      <c r="L35" s="140"/>
      <c r="M35" s="49"/>
      <c r="N35" s="6"/>
    </row>
    <row r="36" spans="2:14" ht="15.6" customHeight="1">
      <c r="B36" s="46"/>
      <c r="C36" s="222"/>
      <c r="D36" s="49"/>
      <c r="E36" s="49"/>
      <c r="F36" s="142" t="s">
        <v>333</v>
      </c>
      <c r="G36" s="142"/>
      <c r="H36" s="142"/>
      <c r="I36" s="142"/>
      <c r="J36" s="142"/>
      <c r="K36" s="289">
        <f>($K10*IF('Stage 2'!$K$14="550-575",'Data Tables'!AC39,IF('Stage 2'!$K$14="575-600",'Data Tables'!AC40,IF('Stage 2'!$K$14="600-625",'Data Tables'!AC41,IF('Stage 2'!$K$14="625-650",'Data Tables'!AC42,IF('Stage 2'!$K$14="650-675",'Data Tables'!AC43,IF('Stage 2'!$K$14="675-700",'Data Tables'!AC44,IF('Stage 2'!$K$14="700-750",'Data Tables'!AC45,IF('Stage 2'!$K$14="750-800",'Data Tables'!AC46,IF('Stage 2'!$K$14="800-850",'Data Tables'!AC47,'Data Tables'!AC48))))))))))+($K11*IF('Stage 2'!$K$14="550-575",'Data Tables'!AE39,IF('Stage 2'!$K$14="575-600",'Data Tables'!AE40,IF('Stage 2'!$K$14="600-625",'Data Tables'!AE41,IF('Stage 2'!$K$14="625-650",'Data Tables'!AE42,IF('Stage 2'!$K$14="650-675",'Data Tables'!AE43,IF('Stage 2'!$K$14="675-700",'Data Tables'!AE44,IF('Stage 2'!$K$14="700-750",'Data Tables'!AE45,IF('Stage 2'!$K$14="750-800",'Data Tables'!AE46,IF('Stage 2'!$K$14="800-850",'Data Tables'!AE47,'Data Tables'!AE48))))))))))+($K12*IF('Stage 2'!$K$14="550-575",'Data Tables'!AG39,IF('Stage 2'!$K$14="575-600",'Data Tables'!AG40,IF('Stage 2'!$K$14="600-625",'Data Tables'!AG41,IF('Stage 2'!$K$14="625-650",'Data Tables'!AG42,IF('Stage 2'!$K$14="650-675",'Data Tables'!AG43,IF('Stage 2'!$K$14="675-700",'Data Tables'!AG44,IF('Stage 2'!$K$14="700-750",'Data Tables'!AG45,IF('Stage 2'!$K$14="750-800",'Data Tables'!AG46,IF('Stage 2'!$K$14="800-850",'Data Tables'!AG47,'Data Tables'!AG48))))))))))+($K13*IF('Stage 2'!$K$14="550-575",'Data Tables'!AI39,IF('Stage 2'!$K$14="575-600",'Data Tables'!AI40,IF('Stage 2'!$K$14="600-625",'Data Tables'!AI41,IF('Stage 2'!$K$14="625-650",'Data Tables'!AI42,IF('Stage 2'!$K$14="650-675",'Data Tables'!AI43,IF('Stage 2'!$K$14="675-700",'Data Tables'!AI44,IF('Stage 2'!$K$14="700-750",'Data Tables'!AI45,IF('Stage 2'!$K$14="750-800",'Data Tables'!AI46,IF('Stage 2'!$K$14="800-850",'Data Tables'!AI47,'Data Tables'!AI48))))))))))+($K14*IF('Stage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Tables'!AK48))))))))))+(K17*'Data Tables'!O4)+(K16*'Data Tables'!O5)+(K18*'Data Tables'!O6)+(K19*'Data Tables'!O7)+(K25*-(IF(K26&gt;0,K26,8)))+(IF('Stage 2'!$K$12="Wensum",($K15*((IF('Stage 2'!$K$14="550-575",'Data Tables'!S13,IF('Stage 2'!$K$14="575-600",'Data Tables'!S13,IF('Stage 2'!$K$14="600-625",'Data Tables'!Y13,IF('Stage 2'!$K$14="625-650",'Data Tables'!Y13,IF('Stage 2'!$K$14="650-675",'Data Tables'!Y13,IF('Stage 2'!$K$14="675-700",'Data Tables'!Y13,IF('Stage 2'!$K$14="700-750",'Data Tables'!AE13,IF('Stage 2'!$K$14="750-800",'Data Tables'!AE13,IF('Stage 2'!$K$14="800-850",'Data Tables'!AE13,'Data Tables'!AE13)))))))))))),IF('Stage 2'!$K$12="Yare",($K15*(IF('Stage 2'!$K$14="550-575",'Data Tables'!S24,IF('Stage 2'!$K$14="575-600",'Data Tables'!S24,IF('Stage 2'!$K$14="600-625",'Data Tables'!Y24,IF('Stage 2'!$K$14="625-650",'Data Tables'!Y24,IF('Stage 2'!$K$14="650-675",'Data Tables'!Y24,IF('Stage 2'!$K$14="675-700",'Data Tables'!Y24,IF('Stage 2'!$K$14="700-750",'Data Tables'!AE24,IF('Stage 2'!$K$14="750-800",'Data Tables'!AE24,IF('Stage 2'!$K$14="800-850",'Data Tables'!AE24,'Data Tables'!AE24))))))))))),($K15*(IF('Stage 2'!$K$14="550-575",'Data Tables'!S35,IF('Stage 2'!$K$14="575-600",'Data Tables'!S35,IF('Stage 2'!$K$14="600-625",'Data Tables'!Y35,IF('Stage 2'!$K$14="625-650",'Data Tables'!Y35,IF('Stage 2'!$K$14="650-675",'Data Tables'!Y35,IF('Stage 2'!$K$14="675-700",'Data Tables'!Y35,IF('Stage 2'!$K$14="700-750",'Data Tables'!AE35,IF('Stage 2'!$K$14="750-800",'Data Tables'!AE35,IF('Stage 2'!$K$14="800-850",'Data Tables'!AE35,'Data Tables'!AE35))))))))))))))</f>
        <v>0</v>
      </c>
      <c r="L36" s="241" t="s">
        <v>293</v>
      </c>
      <c r="M36" s="49"/>
      <c r="N36" s="6"/>
    </row>
    <row r="37" spans="2:14" ht="3.6" customHeight="1">
      <c r="B37" s="46"/>
      <c r="C37" s="222"/>
      <c r="D37" s="49"/>
      <c r="E37" s="49"/>
      <c r="F37" s="142"/>
      <c r="G37" s="142"/>
      <c r="H37" s="142"/>
      <c r="I37" s="142"/>
      <c r="J37" s="142"/>
      <c r="K37" s="49"/>
      <c r="L37" s="49"/>
      <c r="M37" s="49"/>
      <c r="N37" s="6"/>
    </row>
    <row r="38" spans="2:14" ht="15" customHeight="1">
      <c r="B38" s="46"/>
      <c r="C38" s="222"/>
      <c r="D38" s="49"/>
      <c r="E38" s="49"/>
      <c r="F38" s="142" t="s">
        <v>334</v>
      </c>
      <c r="G38" s="142"/>
      <c r="H38" s="142"/>
      <c r="I38" s="142"/>
      <c r="J38" s="142"/>
      <c r="K38" s="267">
        <f>($K10*IF('Stage 2'!$K$14="550-575",'Data Tables'!AD39,IF('Stage 2'!$K$14="575-600",'Data Tables'!AD40,IF('Stage 2'!$K$14="600-625",'Data Tables'!AD41,IF('Stage 2'!$K$14="625-650",'Data Tables'!AD42,IF('Stage 2'!$K$14="650-675",'Data Tables'!AD43,IF('Stage 2'!$K$14="675-700",'Data Tables'!AD44,IF('Stage 2'!$K$14="700-750",'Data Tables'!AD45,IF('Stage 2'!$K$14="750-800",'Data Tables'!AD46,IF('Stage 2'!$K$14="800-850",'Data Tables'!AD47,'Data Tables'!AD48))))))))))+($K11*IF('Stage 2'!$K$14="550-575",'Data Tables'!AF39,IF('Stage 2'!$K$14="575-600",'Data Tables'!AF40,IF('Stage 2'!$K$14="600-625",'Data Tables'!AF41,IF('Stage 2'!$K$14="625-650",'Data Tables'!AF42,IF('Stage 2'!$K$14="650-675",'Data Tables'!AF43,IF('Stage 2'!$K$14="675-700",'Data Tables'!AF44,IF('Stage 2'!$K$14="700-750",'Data Tables'!AF45,IF('Stage 2'!$K$14="750-800",'Data Tables'!AF46,IF('Stage 2'!$K$14="800-850",'Data Tables'!AF47,'Data Tables'!AF48))))))))))+($K12*IF('Stage 2'!$K$14="550-575",'Data Tables'!AH39,IF('Stage 2'!$K$14="575-600",'Data Tables'!AH40,IF('Stage 2'!$K$14="600-625",'Data Tables'!AH41,IF('Stage 2'!$K$14="625-650",'Data Tables'!AH42,IF('Stage 2'!$K$14="650-675",'Data Tables'!AH43,IF('Stage 2'!$K$14="675-700",'Data Tables'!AH44,IF('Stage 2'!$K$14="700-750",'Data Tables'!AH45,IF('Stage 2'!$K$14="750-800",'Data Tables'!AH46,IF('Stage 2'!$K$14="800-850",'Data Tables'!AH47,'Data Tables'!AH48))))))))))+($K13*IF('Stage 2'!$K$14="550-575",'Data Tables'!AJ39,IF('Stage 2'!$K$14="575-600",'Data Tables'!AJ40,IF('Stage 2'!$K$14="600-625",'Data Tables'!AJ41,IF('Stage 2'!$K$14="625-650",'Data Tables'!AJ42,IF('Stage 2'!$K$14="650-675",'Data Tables'!AJ43,IF('Stage 2'!$K$14="675-700",'Data Tables'!AJ44,IF('Stage 2'!$K$14="700-750",'Data Tables'!AJ45,IF('Stage 2'!$K$14="750-800",'Data Tables'!AJ46,IF('Stage 2'!$K$14="800-850",'Data Tables'!AJ47,'Data Tables'!AJ48))))))))))+($K14*IF('Stage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Tables'!AL48))))))))))++(K17*'Data Tables'!P4)+(K16*'Data Tables'!P5)+(K18*'Data Tables'!P6)+(K19*'Data Tables'!P7)+(K25*-(IF(K27&gt;0,K27,930)))+(IF('Stage 2'!$K$12="Wensum",($K15*(IF('Stage 2'!$K$14="550-575",'Data Tables'!AM13,IF('Stage 2'!$K$14="575-600",'Data Tables'!AM13,IF('Stage 2'!$K$14="600-625",'Data Tables'!AS13,IF('Stage 2'!$K$14="625-650",'Data Tables'!AS13,IF('Stage 2'!$K$14="650-675",'Data Tables'!AS13,IF('Stage 2'!$K$14="675-700",'Data Tables'!AS13,IF('Stage 2'!$K$14="700-750",'Data Tables'!AY13,IF('Stage 2'!$K$14="750-800",'Data Tables'!AY13,IF('Stage 2'!$K$14="800-850",'Data Tables'!AY13,'Data Tables'!AY13))))))))))),IF('Stage 2'!$K$12="Yare",($K15*IF('Stage 2'!$K$14="550-575",'Data Tables'!AM24,IF('Stage 2'!$K$14="575-600",'Data Tables'!AM24,IF('Stage 2'!$K$14="600-625",'Data Tables'!AS24,IF('Stage 2'!$K$14="625-650",'Data Tables'!AS24,IF('Stage 2'!$K$14="650-675",'Data Tables'!AS24,IF('Stage 2'!$K$14="675-700",'Data Tables'!AS24,IF('Stage 2'!$K$14="700-750",'Data Tables'!AY24,IF('Stage 2'!$K$14="750-800",'Data Tables'!AY24,IF('Stage 2'!$K$14="800-850",'Data Tables'!AY24,'Data Tables'!AY24)))))))))),($K15*(IF('Stage 2'!$K$14="550-575",'Data Tables'!AM35,IF('Stage 2'!$K$14="575-600",'Data Tables'!AM35,IF('Stage 2'!$K$14="600-625",'Data Tables'!AS35,IF('Stage 2'!$K$14="625-650",'Data Tables'!AS35,IF('Stage 2'!$K$14="650-675",'Data Tables'!AS35,IF('Stage 2'!$K$14="675-700",'Data Tables'!AS35,IF('Stage 2'!$K$14="700-750",'Data Tables'!AY35,IF('Stage 2'!$K$14="750-800",'Data Tables'!AY35,IF('Stage 2'!$K$14="800-850",'Data Tables'!AY35,'Data Tables'!AY35))))))))))))))</f>
        <v>0</v>
      </c>
      <c r="L38" s="241" t="s">
        <v>293</v>
      </c>
      <c r="M38" s="49"/>
      <c r="N38" s="6"/>
    </row>
    <row r="39" spans="2:14" ht="6.6" customHeight="1">
      <c r="B39" s="46"/>
      <c r="C39" s="222"/>
      <c r="D39" s="49"/>
      <c r="E39" s="49"/>
      <c r="F39" s="49"/>
      <c r="G39" s="49"/>
      <c r="H39" s="49"/>
      <c r="I39" s="49"/>
      <c r="J39" s="49"/>
      <c r="K39" s="49"/>
      <c r="L39" s="49"/>
      <c r="M39" s="49"/>
      <c r="N39" s="6"/>
    </row>
    <row r="40" spans="2:14" ht="4.5" customHeight="1" thickBot="1">
      <c r="B40" s="7"/>
      <c r="C40" s="290"/>
      <c r="D40" s="290"/>
      <c r="E40" s="290"/>
      <c r="F40" s="290"/>
      <c r="G40" s="290"/>
      <c r="H40" s="290"/>
      <c r="I40" s="290"/>
      <c r="J40" s="290"/>
      <c r="K40" s="290"/>
      <c r="L40" s="290"/>
      <c r="M40" s="290"/>
      <c r="N40" s="9"/>
    </row>
  </sheetData>
  <sheetProtection algorithmName="SHA-512" hashValue="DwzDWamaH7pbgVI7fRJcYAASW2uqF4epjWrUVfidtWtJWHQZX+K1AGvrWrcq1Gz/6EIk44eyiFNOwbILx07oSg==" saltValue="64wD4QQtakkAaoLVFDxHMg==" spinCount="100000" sheet="1" selectLockedCells="1"/>
  <mergeCells count="20">
    <mergeCell ref="F3:M3"/>
    <mergeCell ref="E4:M6"/>
    <mergeCell ref="F13:J13"/>
    <mergeCell ref="F16:J16"/>
    <mergeCell ref="F8:J8"/>
    <mergeCell ref="F14:J14"/>
    <mergeCell ref="F15:J15"/>
    <mergeCell ref="F37:J37"/>
    <mergeCell ref="F38:J38"/>
    <mergeCell ref="F17:J17"/>
    <mergeCell ref="F18:J18"/>
    <mergeCell ref="F19:J19"/>
    <mergeCell ref="F30:J30"/>
    <mergeCell ref="F34:J35"/>
    <mergeCell ref="F36:J36"/>
    <mergeCell ref="F23:J23"/>
    <mergeCell ref="F25:J25"/>
    <mergeCell ref="F26:J26"/>
    <mergeCell ref="E28:M28"/>
    <mergeCell ref="E31:M31"/>
  </mergeCells>
  <pageMargins left="0.70866141732283472" right="0.70866141732283472" top="0.74803149606299213" bottom="0.74803149606299213" header="0.31496062992125984" footer="0.31496062992125984"/>
  <pageSetup paperSize="9" scale="96" orientation="portrait"/>
  <headerFooter scaleWithDoc="1" alignWithMargins="1" differentFirst="0" differentOddEven="0">
    <oddHeader>&amp;LPhosphate Budget Calculator&amp;CStage 3</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1" id="{b0fd8035-9547-4044-8cec-8a69c341fc10}">
            <xm:f>$K$30&gt;'Stage 2'!$K$41</xm:f>
            <x14:dxf>
              <fill>
                <patternFill>
                  <bgColor rgb="FFFF0000"/>
                </patternFill>
              </fill>
            </x14:dxf>
          </x14:cfRule>
          <xm:sqref>K30</xm:sqref>
        </x14:conditionalFormatting>
        <x14:conditionalFormatting xmlns:xm="http://schemas.microsoft.com/office/excel/2006/main">
          <x14:cfRule type="expression" priority="2" id="{18fb0493-72e0-4f4a-967e-6086069ae134}">
            <xm:f>$K$30='Stage 2'!$K$41</xm:f>
            <x14:dxf>
              <fill>
                <patternFill>
                  <bgColor theme="7" tint="0.79998168889431442"/>
                </patternFill>
              </fill>
            </x14:dxf>
          </x14:cfRule>
          <xm:sqref>K30</xm:sqref>
        </x14:conditionalFormatting>
        <x14:conditionalFormatting xmlns:xm="http://schemas.microsoft.com/office/excel/2006/main">
          <x14:cfRule type="expression" priority="3" id="{79f9e5dd-9811-4b67-b96a-ff2bb2050858}">
            <xm:f>$K$30&lt;'Stage 2'!$K$41</xm:f>
            <x14:dxf>
              <fill>
                <patternFill>
                  <bgColor rgb="FFFF0000"/>
                </patternFill>
              </fill>
            </x14:dxf>
          </x14:cfRule>
          <xm:sqref>K30</xm:sqref>
        </x14:conditionalFormatting>
      </x14:conditionalFormattings>
    </ext>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AG61"/>
  <sheetViews>
    <sheetView topLeftCell="A32" zoomScale="85" view="normal" workbookViewId="0">
      <selection pane="topLeft" activeCell="O35" sqref="O35"/>
    </sheetView>
  </sheetViews>
  <sheetFormatPr defaultRowHeight="13.2"/>
  <cols>
    <col min="2" max="3" width="0.70703125" customWidth="1"/>
    <col min="4" max="4" width="2.27734375" customWidth="1"/>
    <col min="5" max="5" width="9.5703125" customWidth="1"/>
    <col min="9" max="9" width="12.27734375" customWidth="1"/>
    <col min="10" max="10" width="34.27734375" customWidth="1"/>
    <col min="11" max="11" width="10.7109375" customWidth="1"/>
    <col min="12" max="12" width="1.28515625" customWidth="1"/>
    <col min="13" max="13" width="11.27734375" customWidth="1"/>
    <col min="14" max="14" width="1.42578125" customWidth="1"/>
    <col min="15" max="15" width="11.27734375" customWidth="1"/>
    <col min="16" max="16" width="11.41796875" customWidth="1"/>
    <col min="17" max="17" width="3.7109375" customWidth="1"/>
    <col min="18" max="18" width="27.27734375" customWidth="1"/>
    <col min="19" max="19" width="20.7109375" customWidth="1"/>
    <col min="20" max="20" width="1.7109375" customWidth="1"/>
    <col min="21" max="21" width="0.70703125" customWidth="1"/>
    <col min="22" max="22" width="4.41796875" customWidth="1"/>
    <col min="23" max="23" width="10.27734375" hidden="1" customWidth="1"/>
  </cols>
  <sheetData>
    <row r="1" spans="1:1" ht="14.4" thickBot="1">
      <c r="A1" s="40" t="s">
        <v>29</v>
      </c>
    </row>
    <row r="2" spans="2:21" ht="3.6" customHeight="1">
      <c r="B2" s="1"/>
      <c r="C2" s="2"/>
      <c r="D2" s="2"/>
      <c r="E2" s="2"/>
      <c r="F2" s="2"/>
      <c r="G2" s="2"/>
      <c r="H2" s="2"/>
      <c r="I2" s="2"/>
      <c r="J2" s="2"/>
      <c r="K2" s="2"/>
      <c r="L2" s="2"/>
      <c r="M2" s="2"/>
      <c r="N2" s="2"/>
      <c r="O2" s="2"/>
      <c r="P2" s="2"/>
      <c r="Q2" s="2"/>
      <c r="R2" s="2"/>
      <c r="S2" s="2"/>
      <c r="T2" s="2"/>
      <c r="U2" s="3"/>
    </row>
    <row r="3" spans="2:33" ht="28.5" customHeight="1">
      <c r="B3" s="4"/>
      <c r="C3" s="40"/>
      <c r="D3" s="272"/>
      <c r="E3" s="192" t="s">
        <v>29</v>
      </c>
      <c r="F3" s="229" t="s">
        <v>354</v>
      </c>
      <c r="G3" s="229"/>
      <c r="H3" s="229"/>
      <c r="I3" s="229"/>
      <c r="J3" s="229"/>
      <c r="K3" s="229"/>
      <c r="L3" s="229"/>
      <c r="M3" s="229"/>
      <c r="N3" s="229"/>
      <c r="O3" s="229"/>
      <c r="P3" s="229"/>
      <c r="Q3" s="229"/>
      <c r="R3" s="229"/>
      <c r="S3" s="229"/>
      <c r="T3" s="229"/>
      <c r="U3" s="291"/>
      <c r="V3" s="20"/>
      <c r="W3" s="20"/>
      <c r="X3" s="20"/>
      <c r="Y3" s="20"/>
      <c r="Z3" s="20"/>
      <c r="AA3" s="20"/>
      <c r="AB3" s="20"/>
      <c r="AC3" s="20"/>
      <c r="AD3" s="20"/>
      <c r="AE3" s="20"/>
      <c r="AF3" s="20"/>
      <c r="AG3" s="20"/>
    </row>
    <row r="4" spans="2:33" ht="2.1" customHeight="1">
      <c r="B4" s="4"/>
      <c r="C4" s="54"/>
      <c r="D4" s="273"/>
      <c r="E4" s="231" t="s">
        <v>355</v>
      </c>
      <c r="F4" s="231"/>
      <c r="G4" s="231"/>
      <c r="H4" s="231"/>
      <c r="I4" s="231"/>
      <c r="J4" s="231"/>
      <c r="K4" s="231"/>
      <c r="L4" s="231"/>
      <c r="M4" s="231"/>
      <c r="N4" s="231"/>
      <c r="O4" s="231"/>
      <c r="P4" s="231"/>
      <c r="Q4" s="231"/>
      <c r="R4" s="231"/>
      <c r="S4" s="231"/>
      <c r="T4" s="231"/>
      <c r="U4" s="291"/>
      <c r="V4" s="20"/>
      <c r="W4" s="20"/>
      <c r="X4" s="20"/>
      <c r="Y4" s="20"/>
      <c r="Z4" s="20"/>
      <c r="AA4" s="20"/>
      <c r="AB4" s="20"/>
      <c r="AC4" s="20"/>
      <c r="AD4" s="20"/>
      <c r="AE4" s="20"/>
      <c r="AF4" s="20"/>
      <c r="AG4" s="20"/>
    </row>
    <row r="5" spans="2:33" ht="15.6">
      <c r="B5" s="4"/>
      <c r="C5" s="54"/>
      <c r="D5" s="273"/>
      <c r="E5" s="231"/>
      <c r="F5" s="231"/>
      <c r="G5" s="231"/>
      <c r="H5" s="231"/>
      <c r="I5" s="231"/>
      <c r="J5" s="231"/>
      <c r="K5" s="231"/>
      <c r="L5" s="231"/>
      <c r="M5" s="231"/>
      <c r="N5" s="231"/>
      <c r="O5" s="231"/>
      <c r="P5" s="231"/>
      <c r="Q5" s="231"/>
      <c r="R5" s="231"/>
      <c r="S5" s="231"/>
      <c r="T5" s="231"/>
      <c r="U5" s="291"/>
      <c r="V5" s="20"/>
      <c r="W5" s="20"/>
      <c r="X5" s="20"/>
      <c r="Y5" s="20"/>
      <c r="Z5" s="20"/>
      <c r="AA5" s="20"/>
      <c r="AB5" s="20"/>
      <c r="AC5" s="20"/>
      <c r="AD5" s="20"/>
      <c r="AE5" s="20"/>
      <c r="AF5" s="20"/>
      <c r="AG5" s="20"/>
    </row>
    <row r="6" spans="2:33" ht="36.6" customHeight="1">
      <c r="B6" s="4"/>
      <c r="C6" s="42"/>
      <c r="D6" s="222"/>
      <c r="E6" s="231"/>
      <c r="F6" s="231"/>
      <c r="G6" s="231"/>
      <c r="H6" s="231"/>
      <c r="I6" s="231"/>
      <c r="J6" s="231"/>
      <c r="K6" s="231"/>
      <c r="L6" s="231"/>
      <c r="M6" s="231"/>
      <c r="N6" s="231"/>
      <c r="O6" s="231"/>
      <c r="P6" s="231"/>
      <c r="Q6" s="231"/>
      <c r="R6" s="231"/>
      <c r="S6" s="231"/>
      <c r="T6" s="231"/>
      <c r="U6" s="291"/>
      <c r="V6" s="20"/>
      <c r="W6" s="20"/>
      <c r="X6" s="20"/>
      <c r="Y6" s="20"/>
      <c r="Z6" s="20"/>
      <c r="AA6" s="20"/>
      <c r="AB6" s="20"/>
      <c r="AC6" s="20"/>
      <c r="AD6" s="20"/>
      <c r="AE6" s="20"/>
      <c r="AF6" s="20"/>
      <c r="AG6" s="20"/>
    </row>
    <row r="7" spans="2:33" ht="11.1" customHeight="1">
      <c r="B7" s="4"/>
      <c r="C7" s="42"/>
      <c r="D7" s="266"/>
      <c r="E7" s="274"/>
      <c r="F7" s="274"/>
      <c r="G7" s="274"/>
      <c r="H7" s="274"/>
      <c r="I7" s="274"/>
      <c r="J7" s="274"/>
      <c r="K7" s="274"/>
      <c r="L7" s="274"/>
      <c r="M7" s="274"/>
      <c r="N7" s="274"/>
      <c r="O7" s="274"/>
      <c r="P7" s="274"/>
      <c r="Q7" s="274"/>
      <c r="R7" s="274"/>
      <c r="S7" s="274"/>
      <c r="T7" s="274"/>
      <c r="U7" s="291"/>
      <c r="V7" s="20"/>
      <c r="W7" s="20"/>
      <c r="X7" s="20"/>
      <c r="Y7" s="20"/>
      <c r="Z7" s="20"/>
      <c r="AA7" s="20"/>
      <c r="AB7" s="20"/>
      <c r="AC7" s="20"/>
      <c r="AD7" s="20"/>
      <c r="AE7" s="20"/>
      <c r="AF7" s="20"/>
      <c r="AG7" s="20"/>
    </row>
    <row r="8" spans="2:33" ht="11.1" customHeight="1">
      <c r="B8" s="4"/>
      <c r="C8" s="42"/>
      <c r="D8" s="222"/>
      <c r="E8" s="232"/>
      <c r="F8" s="232"/>
      <c r="G8" s="232"/>
      <c r="H8" s="232"/>
      <c r="I8" s="232"/>
      <c r="J8" s="232"/>
      <c r="K8" s="229" t="s">
        <v>299</v>
      </c>
      <c r="L8" s="229"/>
      <c r="M8" s="229" t="str">
        <f>IF(ISNUMBER('Stage 1'!L52),"Post 2026","")</f>
        <v/>
      </c>
      <c r="N8" s="229"/>
      <c r="O8" s="229" t="s">
        <v>300</v>
      </c>
      <c r="P8" s="232"/>
      <c r="Q8" s="232"/>
      <c r="R8" s="441" t="s">
        <v>356</v>
      </c>
      <c r="S8" s="441"/>
      <c r="T8" s="232"/>
      <c r="U8" s="291"/>
      <c r="V8" s="20"/>
      <c r="W8" s="20"/>
      <c r="X8" s="20"/>
      <c r="Y8" s="20"/>
      <c r="Z8" s="20"/>
      <c r="AA8" s="20"/>
      <c r="AB8" s="20"/>
      <c r="AC8" s="20"/>
      <c r="AD8" s="20"/>
      <c r="AE8" s="20"/>
      <c r="AF8" s="20"/>
      <c r="AG8" s="20"/>
    </row>
    <row r="9" spans="2:33" ht="11.1" customHeight="1">
      <c r="B9" s="4"/>
      <c r="C9" s="42"/>
      <c r="D9" s="222"/>
      <c r="E9" s="232"/>
      <c r="F9" s="232"/>
      <c r="G9" s="232"/>
      <c r="H9" s="232"/>
      <c r="I9" s="232"/>
      <c r="J9" s="232"/>
      <c r="K9" s="232"/>
      <c r="L9" s="232"/>
      <c r="M9" s="232"/>
      <c r="N9" s="232"/>
      <c r="O9" s="232"/>
      <c r="P9" s="232"/>
      <c r="Q9" s="232"/>
      <c r="R9" s="292" t="s">
        <v>357</v>
      </c>
      <c r="S9" s="293">
        <f>'Stage 1'!V11+'Stage 1'!V14+'Stage 1'!V17</f>
        <v>0</v>
      </c>
      <c r="T9" s="232"/>
      <c r="U9" s="291"/>
      <c r="V9" s="20"/>
      <c r="W9" s="20"/>
      <c r="X9" s="20"/>
      <c r="Y9" s="20"/>
      <c r="Z9" s="20"/>
      <c r="AA9" s="20"/>
      <c r="AB9" s="20"/>
      <c r="AC9" s="20"/>
      <c r="AD9" s="20"/>
      <c r="AE9" s="20"/>
      <c r="AF9" s="20"/>
      <c r="AG9" s="20"/>
    </row>
    <row r="10" spans="2:33" ht="39.6" customHeight="1">
      <c r="B10" s="4"/>
      <c r="C10" s="55"/>
      <c r="D10" s="222"/>
      <c r="E10" s="48" t="s">
        <v>238</v>
      </c>
      <c r="F10" s="138" t="s">
        <v>358</v>
      </c>
      <c r="G10" s="138"/>
      <c r="H10" s="138"/>
      <c r="I10" s="138"/>
      <c r="J10" s="138"/>
      <c r="K10" s="140" t="s">
        <v>240</v>
      </c>
      <c r="L10" s="140"/>
      <c r="M10" s="140" t="str">
        <f>IF(ISNUMBER('Stage 1'!L52),"Value","")</f>
        <v/>
      </c>
      <c r="N10" s="140"/>
      <c r="O10" s="140" t="s">
        <v>240</v>
      </c>
      <c r="P10" s="140" t="s">
        <v>241</v>
      </c>
      <c r="Q10" s="140"/>
      <c r="R10" s="292" t="str">
        <f>IF('Stage 1'!N40="Yes","WRC location","Onsite treatment plant")</f>
        <v>Onsite treatment plant</v>
      </c>
      <c r="S10" s="294" t="str">
        <f>IF('Stage 1'!N40="Yes",'Stage 1'!K50,'Stage 1'!AD50)</f>
        <v>Package treatment plant (user-defined)</v>
      </c>
      <c r="T10" s="49"/>
      <c r="U10" s="291"/>
      <c r="V10" s="20"/>
      <c r="W10" s="20"/>
      <c r="X10" s="20"/>
      <c r="Y10" s="20"/>
      <c r="Z10" s="20"/>
      <c r="AA10" s="20"/>
      <c r="AB10" s="20"/>
      <c r="AC10" s="20"/>
      <c r="AD10" s="20"/>
      <c r="AE10" s="20"/>
      <c r="AF10" s="20"/>
      <c r="AG10" s="20"/>
    </row>
    <row r="11" spans="2:33" ht="12" customHeight="1">
      <c r="B11" s="4"/>
      <c r="C11" s="42"/>
      <c r="D11" s="222"/>
      <c r="E11" s="49"/>
      <c r="F11" s="66"/>
      <c r="G11" s="49"/>
      <c r="H11" s="49"/>
      <c r="I11" s="49"/>
      <c r="J11" s="49"/>
      <c r="K11" s="49"/>
      <c r="L11" s="49"/>
      <c r="M11" s="49"/>
      <c r="N11" s="49"/>
      <c r="O11" s="49"/>
      <c r="P11" s="49"/>
      <c r="Q11" s="49"/>
      <c r="R11" s="292" t="s">
        <v>359</v>
      </c>
      <c r="S11" s="295">
        <f>IF('Stage 1'!N40="Yes",'Stage 1'!K52,IF(ISTEXT('Stage 1'!AD52),'Stage 1'!AE52,'Stage 1'!AD52))</f>
        <v>0</v>
      </c>
      <c r="T11" s="49"/>
      <c r="U11" s="291"/>
      <c r="V11" s="20"/>
      <c r="W11" s="20"/>
      <c r="X11" s="20"/>
      <c r="Y11" s="20"/>
      <c r="Z11" s="20"/>
      <c r="AA11" s="20"/>
      <c r="AB11" s="20"/>
      <c r="AC11" s="20"/>
      <c r="AD11" s="20"/>
      <c r="AE11" s="20"/>
      <c r="AF11" s="20"/>
      <c r="AG11" s="20"/>
    </row>
    <row r="12" spans="2:33" ht="15.6">
      <c r="B12" s="4"/>
      <c r="C12" s="42"/>
      <c r="D12" s="222"/>
      <c r="E12" s="49"/>
      <c r="F12" s="142" t="s">
        <v>360</v>
      </c>
      <c r="G12" s="142"/>
      <c r="H12" s="142"/>
      <c r="I12" s="142"/>
      <c r="J12" s="142"/>
      <c r="K12" s="267">
        <f>'Stage 1'!U67</f>
        <v>0</v>
      </c>
      <c r="L12" s="263"/>
      <c r="M12" s="296" t="str">
        <f>IF(ISNUMBER('Stage 1'!L52),IF('Stage 1'!N40="Yes",(('Stage 1'!L52*'Stage 1'!V35)/1000000)*365.25,0),"")</f>
        <v/>
      </c>
      <c r="N12" s="263"/>
      <c r="O12" s="348">
        <f>'Stage 1'!W67</f>
        <v>0</v>
      </c>
      <c r="P12" s="241" t="s">
        <v>293</v>
      </c>
      <c r="Q12" s="241"/>
      <c r="R12" s="292" t="s">
        <v>361</v>
      </c>
      <c r="S12" s="295">
        <f>IF('Stage 1'!N40="Yes",'Stage 1'!K53,IF(ISTEXT('Stage 1'!AD53),'Stage 1'!AE53,'Stage 1'!AD53))</f>
        <v>0</v>
      </c>
      <c r="T12" s="49"/>
      <c r="U12" s="291"/>
      <c r="V12" s="20"/>
      <c r="W12" s="20"/>
      <c r="X12" s="20"/>
      <c r="Y12" s="20"/>
      <c r="Z12" s="20"/>
      <c r="AA12" s="20"/>
      <c r="AB12" s="20"/>
      <c r="AC12" s="20"/>
      <c r="AD12" s="20"/>
      <c r="AE12" s="20"/>
      <c r="AF12" s="20"/>
      <c r="AG12" s="20"/>
    </row>
    <row r="13" spans="2:33" ht="15.6">
      <c r="B13" s="4"/>
      <c r="C13" s="42"/>
      <c r="D13" s="222"/>
      <c r="E13" s="49"/>
      <c r="F13" s="142" t="s">
        <v>362</v>
      </c>
      <c r="G13" s="142"/>
      <c r="H13" s="142"/>
      <c r="I13" s="142"/>
      <c r="J13" s="142"/>
      <c r="K13" s="267">
        <f>'Stage 1'!U69</f>
        <v>0</v>
      </c>
      <c r="L13" s="263"/>
      <c r="M13" s="296"/>
      <c r="N13" s="263"/>
      <c r="O13" s="348">
        <f>'Stage 1'!W69</f>
        <v>0</v>
      </c>
      <c r="P13" s="241" t="s">
        <v>293</v>
      </c>
      <c r="Q13" s="241"/>
      <c r="R13" s="297" t="str">
        <f>IF(ISNUMBER('Stage 1'!L52),"Post 2026 TP discharge concentration","")</f>
        <v/>
      </c>
      <c r="S13" s="298" t="str">
        <f>IF(ISNUMBER('Stage 1'!L52),'Stage 1'!L52,"")</f>
        <v/>
      </c>
      <c r="T13" s="49"/>
      <c r="U13" s="291"/>
      <c r="V13" s="20"/>
      <c r="W13" s="20"/>
      <c r="X13" s="20"/>
      <c r="Y13" s="20"/>
      <c r="Z13" s="20"/>
      <c r="AA13" s="20"/>
      <c r="AB13" s="20"/>
      <c r="AC13" s="20"/>
      <c r="AD13" s="20"/>
      <c r="AE13" s="20"/>
      <c r="AF13" s="20"/>
      <c r="AG13" s="20"/>
    </row>
    <row r="14" spans="2:33" ht="15.6">
      <c r="B14" s="4"/>
      <c r="C14" s="42"/>
      <c r="D14" s="222"/>
      <c r="E14" s="49"/>
      <c r="F14" s="142"/>
      <c r="G14" s="142"/>
      <c r="H14" s="142"/>
      <c r="I14" s="142"/>
      <c r="J14" s="142"/>
      <c r="K14" s="263"/>
      <c r="L14" s="263"/>
      <c r="M14" s="296"/>
      <c r="N14" s="263"/>
      <c r="O14" s="296"/>
      <c r="P14" s="241"/>
      <c r="Q14" s="241"/>
      <c r="R14" s="297" t="s">
        <v>363</v>
      </c>
      <c r="S14" s="298">
        <f>IF('Stage 1'!N40="Yes",'Stage 1'!M52,IF(ISTEXT('Stage 1'!AD52),'Stage 1'!AE52,'Stage 1'!AD52))</f>
        <v>0</v>
      </c>
      <c r="T14" s="49"/>
      <c r="U14" s="291"/>
      <c r="V14" s="20"/>
      <c r="W14" s="20"/>
      <c r="X14" s="20"/>
      <c r="Y14" s="20"/>
      <c r="Z14" s="20"/>
      <c r="AA14" s="20"/>
      <c r="AB14" s="20"/>
      <c r="AC14" s="20"/>
      <c r="AD14" s="20"/>
      <c r="AE14" s="20"/>
      <c r="AF14" s="20"/>
      <c r="AG14" s="20"/>
    </row>
    <row r="15" spans="2:33" ht="15.6">
      <c r="B15" s="4"/>
      <c r="C15" s="42"/>
      <c r="D15" s="222"/>
      <c r="E15" s="49"/>
      <c r="F15" s="142"/>
      <c r="G15" s="142"/>
      <c r="H15" s="142"/>
      <c r="I15" s="142"/>
      <c r="J15" s="142"/>
      <c r="K15" s="263"/>
      <c r="L15" s="263"/>
      <c r="M15" s="296"/>
      <c r="N15" s="263"/>
      <c r="O15" s="296"/>
      <c r="P15" s="241"/>
      <c r="Q15" s="241"/>
      <c r="R15" s="297" t="s">
        <v>364</v>
      </c>
      <c r="S15" s="298">
        <f>IF('Stage 1'!N40="Yes",'Stage 1'!M53,IF(ISTEXT('Stage 1'!AD53),'Stage 1'!AE53,'Stage 1'!AD53))</f>
        <v>0</v>
      </c>
      <c r="T15" s="49"/>
      <c r="U15" s="291"/>
      <c r="V15" s="20"/>
      <c r="W15" s="20"/>
      <c r="X15" s="20"/>
      <c r="Y15" s="20"/>
      <c r="Z15" s="20"/>
      <c r="AA15" s="20"/>
      <c r="AB15" s="20"/>
      <c r="AC15" s="20"/>
      <c r="AD15" s="20"/>
      <c r="AE15" s="20"/>
      <c r="AF15" s="20"/>
      <c r="AG15" s="20"/>
    </row>
    <row r="16" spans="2:33" ht="8.7" customHeight="1">
      <c r="B16" s="4"/>
      <c r="C16" s="42"/>
      <c r="D16" s="222"/>
      <c r="E16" s="49"/>
      <c r="F16" s="49"/>
      <c r="G16" s="49"/>
      <c r="H16" s="49"/>
      <c r="I16" s="49"/>
      <c r="J16" s="49"/>
      <c r="K16" s="49"/>
      <c r="L16" s="49"/>
      <c r="M16" s="49"/>
      <c r="N16" s="49"/>
      <c r="O16" s="49"/>
      <c r="P16" s="49"/>
      <c r="Q16" s="49"/>
      <c r="R16" s="49"/>
      <c r="S16" s="49"/>
      <c r="T16" s="49"/>
      <c r="U16" s="291"/>
      <c r="V16" s="20"/>
      <c r="W16" s="20"/>
      <c r="X16" s="20"/>
      <c r="Y16" s="20"/>
      <c r="Z16" s="20"/>
      <c r="AA16" s="20"/>
      <c r="AB16" s="20"/>
      <c r="AC16" s="20"/>
      <c r="AD16" s="20"/>
      <c r="AE16" s="20"/>
      <c r="AF16" s="20"/>
      <c r="AG16" s="20"/>
    </row>
    <row r="17" spans="2:33" ht="12" customHeight="1">
      <c r="B17" s="4"/>
      <c r="C17" s="42"/>
      <c r="D17" s="266"/>
      <c r="E17" s="253"/>
      <c r="F17" s="253"/>
      <c r="G17" s="253"/>
      <c r="H17" s="253"/>
      <c r="I17" s="253"/>
      <c r="J17" s="253"/>
      <c r="K17" s="253"/>
      <c r="L17" s="253"/>
      <c r="M17" s="253"/>
      <c r="N17" s="253"/>
      <c r="O17" s="253"/>
      <c r="P17" s="253"/>
      <c r="Q17" s="253"/>
      <c r="R17" s="253"/>
      <c r="S17" s="253"/>
      <c r="T17" s="253"/>
      <c r="U17" s="291"/>
      <c r="V17" s="20"/>
      <c r="W17" s="20"/>
      <c r="X17" s="20"/>
      <c r="Y17" s="20"/>
      <c r="Z17" s="20"/>
      <c r="AA17" s="20"/>
      <c r="AB17" s="20"/>
      <c r="AC17" s="20"/>
      <c r="AD17" s="20"/>
      <c r="AE17" s="20"/>
      <c r="AF17" s="20"/>
      <c r="AG17" s="20"/>
    </row>
    <row r="18" spans="2:33" ht="15.6">
      <c r="B18" s="4"/>
      <c r="C18" s="42"/>
      <c r="D18" s="222"/>
      <c r="E18" s="48" t="s">
        <v>259</v>
      </c>
      <c r="F18" s="138" t="s">
        <v>365</v>
      </c>
      <c r="G18" s="138"/>
      <c r="H18" s="138"/>
      <c r="I18" s="138"/>
      <c r="J18" s="138"/>
      <c r="K18" s="140" t="s">
        <v>240</v>
      </c>
      <c r="L18" s="140"/>
      <c r="M18" s="140" t="str">
        <f>IF(ISNUMBER('Stage 1'!L52),"Value","")</f>
        <v/>
      </c>
      <c r="N18" s="140"/>
      <c r="O18" s="140" t="s">
        <v>240</v>
      </c>
      <c r="P18" s="140" t="s">
        <v>241</v>
      </c>
      <c r="Q18" s="140"/>
      <c r="R18" s="292" t="s">
        <v>366</v>
      </c>
      <c r="S18" s="295">
        <f>'Stage 2'!K46</f>
        <v>0</v>
      </c>
      <c r="T18" s="49"/>
      <c r="U18" s="291"/>
      <c r="V18" s="20"/>
      <c r="W18" s="20"/>
      <c r="X18" s="20"/>
      <c r="Y18" s="20"/>
      <c r="Z18" s="20"/>
      <c r="AA18" s="20"/>
      <c r="AB18" s="20"/>
      <c r="AC18" s="20"/>
      <c r="AD18" s="20"/>
      <c r="AE18" s="20"/>
      <c r="AF18" s="20"/>
      <c r="AG18" s="20"/>
    </row>
    <row r="19" spans="2:33" ht="4.2" customHeight="1">
      <c r="B19" s="4"/>
      <c r="C19" s="42"/>
      <c r="D19" s="222"/>
      <c r="E19" s="48"/>
      <c r="F19" s="49"/>
      <c r="G19" s="49"/>
      <c r="H19" s="49"/>
      <c r="I19" s="49"/>
      <c r="J19" s="49"/>
      <c r="K19" s="140"/>
      <c r="L19" s="140"/>
      <c r="M19" s="140"/>
      <c r="N19" s="140"/>
      <c r="O19" s="140"/>
      <c r="P19" s="140"/>
      <c r="Q19" s="140"/>
      <c r="R19" s="292"/>
      <c r="S19" s="295"/>
      <c r="T19" s="49"/>
      <c r="U19" s="291"/>
      <c r="V19" s="20"/>
      <c r="W19" s="20"/>
      <c r="X19" s="20"/>
      <c r="Y19" s="20"/>
      <c r="Z19" s="20"/>
      <c r="AA19" s="20"/>
      <c r="AB19" s="20"/>
      <c r="AC19" s="20"/>
      <c r="AD19" s="20"/>
      <c r="AE19" s="20"/>
      <c r="AF19" s="20"/>
      <c r="AG19" s="20"/>
    </row>
    <row r="20" spans="2:33" ht="15.6">
      <c r="B20" s="4"/>
      <c r="C20" s="42"/>
      <c r="D20" s="222"/>
      <c r="E20" s="49"/>
      <c r="F20" s="142" t="s">
        <v>367</v>
      </c>
      <c r="G20" s="142"/>
      <c r="H20" s="142"/>
      <c r="I20" s="142"/>
      <c r="J20" s="142"/>
      <c r="K20" s="267">
        <f>(('Stage 3'!K36)-('Stage 2'!K46))</f>
        <v>0</v>
      </c>
      <c r="L20" s="263"/>
      <c r="M20" s="299" t="str">
        <f>IF(ISNUMBER('Stage 1'!L52),(('Stage 3'!K36)-('Stage 2'!K46)),"")</f>
        <v/>
      </c>
      <c r="N20" s="263"/>
      <c r="O20" s="348">
        <f>(('Stage 3'!K36)-('Stage 2'!K46))</f>
        <v>0</v>
      </c>
      <c r="P20" s="241" t="s">
        <v>293</v>
      </c>
      <c r="Q20" s="241"/>
      <c r="R20" s="292" t="s">
        <v>368</v>
      </c>
      <c r="S20" s="295">
        <f>'Stage 3'!K36</f>
        <v>0</v>
      </c>
      <c r="T20" s="49"/>
      <c r="U20" s="291"/>
      <c r="V20" s="20"/>
      <c r="W20" s="20"/>
      <c r="X20" s="20"/>
      <c r="Y20" s="20"/>
      <c r="Z20" s="20"/>
      <c r="AA20" s="20"/>
      <c r="AB20" s="20"/>
      <c r="AC20" s="20"/>
      <c r="AD20" s="20"/>
      <c r="AE20" s="20"/>
      <c r="AF20" s="20"/>
      <c r="AG20" s="20"/>
    </row>
    <row r="21" spans="2:33" ht="15.6">
      <c r="B21" s="4"/>
      <c r="C21" s="42"/>
      <c r="D21" s="222"/>
      <c r="E21" s="49"/>
      <c r="F21" s="142" t="s">
        <v>369</v>
      </c>
      <c r="G21" s="142"/>
      <c r="H21" s="142"/>
      <c r="I21" s="142"/>
      <c r="J21" s="142"/>
      <c r="K21" s="267">
        <f>(('Stage 3'!K38)-('Stage 2'!K48))</f>
        <v>0</v>
      </c>
      <c r="L21" s="263"/>
      <c r="M21" s="296"/>
      <c r="N21" s="263"/>
      <c r="O21" s="348">
        <f>(('Stage 3'!K38)-('Stage 2'!K48))</f>
        <v>0</v>
      </c>
      <c r="P21" s="241" t="s">
        <v>293</v>
      </c>
      <c r="Q21" s="241"/>
      <c r="R21" s="292" t="s">
        <v>370</v>
      </c>
      <c r="S21" s="295">
        <f>'Stage 2'!K48</f>
        <v>0</v>
      </c>
      <c r="T21" s="49"/>
      <c r="U21" s="291"/>
      <c r="V21" s="20"/>
      <c r="W21" s="20"/>
      <c r="X21" s="20"/>
      <c r="Y21" s="20"/>
      <c r="Z21" s="20"/>
      <c r="AA21" s="20"/>
      <c r="AB21" s="20"/>
      <c r="AC21" s="20"/>
      <c r="AD21" s="20"/>
      <c r="AE21" s="20"/>
      <c r="AF21" s="20"/>
      <c r="AG21" s="20"/>
    </row>
    <row r="22" spans="2:33" ht="15.6">
      <c r="B22" s="4"/>
      <c r="C22" s="42"/>
      <c r="D22" s="222"/>
      <c r="E22" s="49"/>
      <c r="F22" s="142"/>
      <c r="G22" s="142"/>
      <c r="H22" s="142"/>
      <c r="I22" s="142"/>
      <c r="J22" s="142"/>
      <c r="K22" s="263"/>
      <c r="L22" s="263"/>
      <c r="M22" s="296"/>
      <c r="N22" s="263"/>
      <c r="O22" s="296"/>
      <c r="P22" s="241"/>
      <c r="Q22" s="241"/>
      <c r="R22" s="292" t="s">
        <v>371</v>
      </c>
      <c r="S22" s="295">
        <f>'Stage 3'!K38</f>
        <v>0</v>
      </c>
      <c r="T22" s="49"/>
      <c r="U22" s="291"/>
      <c r="V22" s="20"/>
      <c r="W22" s="20"/>
      <c r="X22" s="20"/>
      <c r="Y22" s="20"/>
      <c r="Z22" s="20"/>
      <c r="AA22" s="20"/>
      <c r="AB22" s="20"/>
      <c r="AC22" s="20"/>
      <c r="AD22" s="20"/>
      <c r="AE22" s="20"/>
      <c r="AF22" s="20"/>
      <c r="AG22" s="20"/>
    </row>
    <row r="23" spans="2:33" ht="10.5" customHeight="1">
      <c r="B23" s="4"/>
      <c r="C23" s="42"/>
      <c r="D23" s="222"/>
      <c r="E23" s="49"/>
      <c r="F23" s="49"/>
      <c r="G23" s="49"/>
      <c r="H23" s="49"/>
      <c r="I23" s="49"/>
      <c r="J23" s="49"/>
      <c r="K23" s="49"/>
      <c r="L23" s="49"/>
      <c r="M23" s="49"/>
      <c r="N23" s="49"/>
      <c r="O23" s="49"/>
      <c r="P23" s="49"/>
      <c r="Q23" s="49"/>
      <c r="R23" s="49"/>
      <c r="S23" s="49"/>
      <c r="T23" s="49"/>
      <c r="U23" s="291"/>
      <c r="V23" s="20"/>
      <c r="W23" s="20"/>
      <c r="X23" s="20"/>
      <c r="Y23" s="20"/>
      <c r="Z23" s="20"/>
      <c r="AA23" s="20"/>
      <c r="AB23" s="20"/>
      <c r="AC23" s="20"/>
      <c r="AD23" s="20"/>
      <c r="AE23" s="20"/>
      <c r="AF23" s="20"/>
      <c r="AG23" s="20"/>
    </row>
    <row r="24" spans="2:33" ht="15.6">
      <c r="B24" s="4"/>
      <c r="C24" s="42"/>
      <c r="D24" s="222"/>
      <c r="E24" s="253"/>
      <c r="F24" s="253"/>
      <c r="G24" s="253"/>
      <c r="H24" s="253"/>
      <c r="I24" s="253"/>
      <c r="J24" s="253"/>
      <c r="K24" s="253"/>
      <c r="L24" s="253"/>
      <c r="M24" s="253"/>
      <c r="N24" s="253"/>
      <c r="O24" s="253"/>
      <c r="P24" s="253"/>
      <c r="Q24" s="253"/>
      <c r="R24" s="253"/>
      <c r="S24" s="253"/>
      <c r="T24" s="253"/>
      <c r="U24" s="291"/>
      <c r="V24" s="20"/>
      <c r="W24" s="20"/>
      <c r="X24" s="20"/>
      <c r="Y24" s="20"/>
      <c r="Z24" s="20"/>
      <c r="AA24" s="20"/>
      <c r="AB24" s="20"/>
      <c r="AC24" s="20"/>
      <c r="AD24" s="20"/>
      <c r="AE24" s="20"/>
      <c r="AF24" s="20"/>
      <c r="AG24" s="20"/>
    </row>
    <row r="25" spans="2:33" ht="15.6">
      <c r="B25" s="4"/>
      <c r="C25" s="42"/>
      <c r="D25" s="222"/>
      <c r="E25" s="48" t="s">
        <v>331</v>
      </c>
      <c r="F25" s="138" t="s">
        <v>372</v>
      </c>
      <c r="G25" s="138"/>
      <c r="H25" s="138"/>
      <c r="I25" s="138"/>
      <c r="J25" s="138"/>
      <c r="K25" s="140" t="s">
        <v>240</v>
      </c>
      <c r="L25" s="140"/>
      <c r="M25" s="140" t="str">
        <f>IF(ISNUMBER('Stage 1'!L52),"Value","")</f>
        <v/>
      </c>
      <c r="N25" s="140"/>
      <c r="O25" s="140" t="s">
        <v>240</v>
      </c>
      <c r="P25" s="140" t="s">
        <v>241</v>
      </c>
      <c r="Q25" s="140"/>
      <c r="R25" s="140"/>
      <c r="S25" s="140"/>
      <c r="T25" s="49"/>
      <c r="U25" s="291"/>
      <c r="V25" s="20"/>
      <c r="W25" s="20"/>
      <c r="X25" s="20"/>
      <c r="Y25" s="20"/>
      <c r="Z25" s="20"/>
      <c r="AA25" s="20"/>
      <c r="AB25" s="20"/>
      <c r="AC25" s="20"/>
      <c r="AD25" s="20"/>
      <c r="AE25" s="20"/>
      <c r="AF25" s="20"/>
      <c r="AG25" s="20"/>
    </row>
    <row r="26" spans="2:33" ht="6.6" customHeight="1">
      <c r="B26" s="4"/>
      <c r="C26" s="42"/>
      <c r="D26" s="222"/>
      <c r="E26" s="48"/>
      <c r="F26" s="49"/>
      <c r="G26" s="49"/>
      <c r="H26" s="49"/>
      <c r="I26" s="49"/>
      <c r="J26" s="49"/>
      <c r="K26" s="140"/>
      <c r="L26" s="140"/>
      <c r="M26" s="140"/>
      <c r="N26" s="140"/>
      <c r="O26" s="140"/>
      <c r="P26" s="140"/>
      <c r="Q26" s="140"/>
      <c r="R26" s="140"/>
      <c r="S26" s="140"/>
      <c r="T26" s="49"/>
      <c r="U26" s="291"/>
      <c r="V26" s="20"/>
      <c r="W26" s="20"/>
      <c r="X26" s="20"/>
      <c r="Y26" s="20"/>
      <c r="Z26" s="20"/>
      <c r="AA26" s="20"/>
      <c r="AB26" s="20"/>
      <c r="AC26" s="20"/>
      <c r="AD26" s="20"/>
      <c r="AE26" s="20"/>
      <c r="AF26" s="20"/>
      <c r="AG26" s="20"/>
    </row>
    <row r="27" spans="2:33" ht="15.6">
      <c r="B27" s="4"/>
      <c r="C27" s="42"/>
      <c r="D27" s="222"/>
      <c r="E27" s="49"/>
      <c r="F27" s="142" t="s">
        <v>373</v>
      </c>
      <c r="G27" s="142"/>
      <c r="H27" s="142"/>
      <c r="I27" s="142"/>
      <c r="J27" s="142"/>
      <c r="K27" s="267">
        <f>K12+K20</f>
        <v>0</v>
      </c>
      <c r="L27" s="263"/>
      <c r="M27" s="299" t="str">
        <f>IF(ISNUMBER('Stage 1'!L52),M12+M20,"")</f>
        <v/>
      </c>
      <c r="N27" s="263"/>
      <c r="O27" s="348">
        <f>O12+O20</f>
        <v>0</v>
      </c>
      <c r="P27" s="241" t="s">
        <v>293</v>
      </c>
      <c r="Q27" s="241"/>
      <c r="R27" s="241"/>
      <c r="S27" s="241"/>
      <c r="T27" s="49"/>
      <c r="U27" s="291"/>
      <c r="V27" s="20"/>
      <c r="W27" s="20"/>
      <c r="X27" s="20"/>
      <c r="Y27" s="20"/>
      <c r="Z27" s="20"/>
      <c r="AA27" s="20"/>
      <c r="AB27" s="20"/>
      <c r="AC27" s="20"/>
      <c r="AD27" s="20"/>
      <c r="AE27" s="20"/>
      <c r="AF27" s="20"/>
      <c r="AG27" s="20"/>
    </row>
    <row r="28" spans="2:33" ht="15.6">
      <c r="B28" s="4"/>
      <c r="C28" s="42"/>
      <c r="D28" s="222"/>
      <c r="E28" s="49"/>
      <c r="F28" s="142" t="s">
        <v>374</v>
      </c>
      <c r="G28" s="142"/>
      <c r="H28" s="142"/>
      <c r="I28" s="142"/>
      <c r="J28" s="142"/>
      <c r="K28" s="267">
        <f>K13+K21</f>
        <v>0</v>
      </c>
      <c r="L28" s="263"/>
      <c r="M28" s="296"/>
      <c r="N28" s="263"/>
      <c r="O28" s="348">
        <f>O13+O21</f>
        <v>0</v>
      </c>
      <c r="P28" s="241" t="s">
        <v>293</v>
      </c>
      <c r="Q28" s="241"/>
      <c r="R28" s="241"/>
      <c r="S28" s="241"/>
      <c r="T28" s="49"/>
      <c r="U28" s="291"/>
      <c r="V28" s="20"/>
      <c r="W28" s="20"/>
      <c r="X28" s="20"/>
      <c r="Y28" s="20"/>
      <c r="Z28" s="20"/>
      <c r="AA28" s="20"/>
      <c r="AB28" s="20"/>
      <c r="AC28" s="20"/>
      <c r="AD28" s="20"/>
      <c r="AE28" s="20"/>
      <c r="AF28" s="20"/>
      <c r="AG28" s="20"/>
    </row>
    <row r="29" spans="2:33" ht="15.6">
      <c r="B29" s="4"/>
      <c r="C29" s="42"/>
      <c r="D29" s="222"/>
      <c r="E29" s="49"/>
      <c r="F29" s="49"/>
      <c r="G29" s="49"/>
      <c r="H29" s="49"/>
      <c r="I29" s="49"/>
      <c r="J29" s="49"/>
      <c r="K29" s="49"/>
      <c r="L29" s="49"/>
      <c r="M29" s="49"/>
      <c r="N29" s="49"/>
      <c r="O29" s="49"/>
      <c r="P29" s="49"/>
      <c r="Q29" s="49"/>
      <c r="R29" s="49"/>
      <c r="S29" s="49"/>
      <c r="T29" s="49"/>
      <c r="U29" s="291"/>
      <c r="V29" s="20"/>
      <c r="W29" s="20"/>
      <c r="X29" s="20"/>
      <c r="Y29" s="20"/>
      <c r="Z29" s="20"/>
      <c r="AA29" s="20"/>
      <c r="AB29" s="20"/>
      <c r="AC29" s="20"/>
      <c r="AD29" s="20"/>
      <c r="AE29" s="20"/>
      <c r="AF29" s="20"/>
      <c r="AG29" s="20"/>
    </row>
    <row r="30" spans="2:33" ht="15.6">
      <c r="B30" s="4"/>
      <c r="C30" s="42"/>
      <c r="D30" s="222"/>
      <c r="E30" s="253"/>
      <c r="F30" s="253"/>
      <c r="G30" s="253"/>
      <c r="H30" s="253"/>
      <c r="I30" s="253"/>
      <c r="J30" s="253"/>
      <c r="K30" s="253"/>
      <c r="L30" s="253"/>
      <c r="M30" s="253"/>
      <c r="N30" s="253"/>
      <c r="O30" s="253"/>
      <c r="P30" s="253"/>
      <c r="Q30" s="253"/>
      <c r="R30" s="253"/>
      <c r="S30" s="253"/>
      <c r="T30" s="253"/>
      <c r="U30" s="291"/>
      <c r="V30" s="20"/>
      <c r="W30" s="20"/>
      <c r="X30" s="20"/>
      <c r="Y30" s="20"/>
      <c r="Z30" s="20"/>
      <c r="AA30" s="20"/>
      <c r="AB30" s="20"/>
      <c r="AC30" s="20"/>
      <c r="AD30" s="20"/>
      <c r="AE30" s="20"/>
      <c r="AF30" s="20"/>
      <c r="AG30" s="20"/>
    </row>
    <row r="31" spans="2:33" ht="15.6">
      <c r="B31" s="4"/>
      <c r="C31" s="42"/>
      <c r="D31" s="222"/>
      <c r="E31" s="48" t="s">
        <v>297</v>
      </c>
      <c r="F31" s="138" t="s">
        <v>375</v>
      </c>
      <c r="G31" s="138"/>
      <c r="H31" s="138"/>
      <c r="I31" s="138"/>
      <c r="J31" s="138"/>
      <c r="K31" s="140" t="s">
        <v>240</v>
      </c>
      <c r="L31" s="140"/>
      <c r="M31" s="140" t="str">
        <f>IF(ISNUMBER('Stage 1'!L52),"Value","")</f>
        <v/>
      </c>
      <c r="N31" s="140"/>
      <c r="O31" s="140" t="s">
        <v>240</v>
      </c>
      <c r="P31" s="140" t="s">
        <v>241</v>
      </c>
      <c r="Q31" s="140"/>
      <c r="R31" s="140"/>
      <c r="S31" s="140"/>
      <c r="T31" s="49"/>
      <c r="U31" s="291"/>
      <c r="V31" s="20"/>
      <c r="W31" s="20"/>
      <c r="X31" s="20"/>
      <c r="Y31" s="20"/>
      <c r="Z31" s="20"/>
      <c r="AA31" s="20"/>
      <c r="AB31" s="20"/>
      <c r="AC31" s="20"/>
      <c r="AD31" s="20"/>
      <c r="AE31" s="20"/>
      <c r="AF31" s="20"/>
      <c r="AG31" s="20"/>
    </row>
    <row r="32" spans="2:33" ht="6" customHeight="1">
      <c r="B32" s="4"/>
      <c r="C32" s="42"/>
      <c r="D32" s="222"/>
      <c r="E32" s="48"/>
      <c r="F32" s="49"/>
      <c r="G32" s="49"/>
      <c r="H32" s="49"/>
      <c r="I32" s="49"/>
      <c r="J32" s="49"/>
      <c r="K32" s="140"/>
      <c r="L32" s="140"/>
      <c r="M32" s="140"/>
      <c r="N32" s="140"/>
      <c r="O32" s="140"/>
      <c r="P32" s="140"/>
      <c r="Q32" s="140"/>
      <c r="R32" s="140"/>
      <c r="S32" s="140"/>
      <c r="T32" s="49"/>
      <c r="U32" s="291"/>
      <c r="V32" s="20"/>
      <c r="W32" s="20"/>
      <c r="X32" s="20"/>
      <c r="Y32" s="20"/>
      <c r="Z32" s="20"/>
      <c r="AA32" s="20"/>
      <c r="AB32" s="20"/>
      <c r="AC32" s="20"/>
      <c r="AD32" s="20"/>
      <c r="AE32" s="20"/>
      <c r="AF32" s="20"/>
      <c r="AG32" s="20"/>
    </row>
    <row r="33" spans="2:33" ht="16.2" customHeight="1">
      <c r="B33" s="4"/>
      <c r="C33" s="42"/>
      <c r="D33" s="222"/>
      <c r="E33" s="48"/>
      <c r="F33" s="138" t="s">
        <v>376</v>
      </c>
      <c r="G33" s="138"/>
      <c r="H33" s="138"/>
      <c r="I33" s="138"/>
      <c r="J33" s="138"/>
      <c r="K33" s="238">
        <v>20</v>
      </c>
      <c r="L33" s="140"/>
      <c r="M33" s="140" t="str">
        <f>IF(ISNUMBER('Stage 1'!L52),20,"")</f>
        <v/>
      </c>
      <c r="N33" s="140"/>
      <c r="O33" s="349">
        <v>20</v>
      </c>
      <c r="P33" s="235" t="s">
        <v>254</v>
      </c>
      <c r="Q33" s="140"/>
      <c r="R33" s="140"/>
      <c r="S33" s="140"/>
      <c r="T33" s="49"/>
      <c r="U33" s="291"/>
      <c r="V33" s="20"/>
      <c r="W33" s="20"/>
      <c r="X33" s="20"/>
      <c r="Y33" s="20"/>
      <c r="Z33" s="20"/>
      <c r="AA33" s="20"/>
      <c r="AB33" s="20"/>
      <c r="AC33" s="20"/>
      <c r="AD33" s="20"/>
      <c r="AE33" s="20"/>
      <c r="AF33" s="20"/>
      <c r="AG33" s="20"/>
    </row>
    <row r="34" spans="2:33" ht="15" customHeight="1">
      <c r="B34" s="4"/>
      <c r="C34" s="42"/>
      <c r="D34" s="222"/>
      <c r="E34" s="49"/>
      <c r="F34" s="138" t="s">
        <v>377</v>
      </c>
      <c r="G34" s="138"/>
      <c r="H34" s="138"/>
      <c r="I34" s="138"/>
      <c r="J34" s="138"/>
      <c r="K34" s="267">
        <f>IF(K27&gt;0,K27*(K33/100),K27*0)</f>
        <v>0</v>
      </c>
      <c r="L34" s="263"/>
      <c r="M34" s="263" t="str">
        <f>IF(ISNUMBER('Stage 1'!L52),IF(M27&gt;0,M27*(M33/100),M27*0),"")</f>
        <v/>
      </c>
      <c r="N34" s="263"/>
      <c r="O34" s="348">
        <f>IF(O27&gt;0,O27*(O33/100),O27*0)</f>
        <v>0</v>
      </c>
      <c r="P34" s="241" t="s">
        <v>293</v>
      </c>
      <c r="Q34" s="241"/>
      <c r="R34" s="241"/>
      <c r="S34" s="241"/>
      <c r="T34" s="49"/>
      <c r="U34" s="291"/>
      <c r="V34" s="20"/>
      <c r="W34" s="20"/>
      <c r="X34" s="20"/>
      <c r="Y34" s="20"/>
      <c r="Z34" s="20"/>
      <c r="AA34" s="20"/>
      <c r="AB34" s="20"/>
      <c r="AC34" s="20"/>
      <c r="AD34" s="20"/>
      <c r="AE34" s="20"/>
      <c r="AF34" s="20"/>
      <c r="AG34" s="20"/>
    </row>
    <row r="35" spans="2:33" ht="15.6">
      <c r="B35" s="4"/>
      <c r="C35" s="42"/>
      <c r="D35" s="222"/>
      <c r="E35" s="49"/>
      <c r="F35" s="49" t="s">
        <v>378</v>
      </c>
      <c r="G35" s="49"/>
      <c r="H35" s="49"/>
      <c r="I35" s="49"/>
      <c r="J35" s="49"/>
      <c r="K35" s="267">
        <f>IF(K28&gt;0,K28*(K33/100),K28*0)</f>
        <v>0</v>
      </c>
      <c r="L35" s="263"/>
      <c r="M35" s="296"/>
      <c r="N35" s="263"/>
      <c r="O35" s="348">
        <f>IF(O28&gt;0,O28*(O33/100),O28*0)</f>
        <v>0</v>
      </c>
      <c r="P35" s="241" t="s">
        <v>293</v>
      </c>
      <c r="Q35" s="49"/>
      <c r="R35" s="49"/>
      <c r="S35" s="49"/>
      <c r="T35" s="49"/>
      <c r="U35" s="291"/>
      <c r="V35" s="20"/>
      <c r="W35" s="20" t="s">
        <v>379</v>
      </c>
      <c r="X35" s="20"/>
      <c r="Y35" s="20"/>
      <c r="Z35" s="20"/>
      <c r="AA35" s="20"/>
      <c r="AB35" s="20"/>
      <c r="AC35" s="20"/>
      <c r="AD35" s="20"/>
      <c r="AE35" s="20"/>
      <c r="AF35" s="20"/>
      <c r="AG35" s="20"/>
    </row>
    <row r="36" spans="2:33" ht="15.6">
      <c r="B36" s="4"/>
      <c r="C36" s="42"/>
      <c r="D36" s="222"/>
      <c r="E36" s="49"/>
      <c r="F36" s="49"/>
      <c r="G36" s="49"/>
      <c r="H36" s="49"/>
      <c r="I36" s="49"/>
      <c r="J36" s="49"/>
      <c r="K36" s="49"/>
      <c r="L36" s="49"/>
      <c r="M36" s="49"/>
      <c r="N36" s="49"/>
      <c r="O36" s="49"/>
      <c r="P36" s="49"/>
      <c r="Q36" s="49"/>
      <c r="R36" s="49"/>
      <c r="S36" s="49"/>
      <c r="T36" s="49"/>
      <c r="U36" s="291"/>
      <c r="V36" s="20"/>
      <c r="W36" s="20" t="s">
        <v>380</v>
      </c>
      <c r="X36" s="20"/>
      <c r="Y36" s="20"/>
      <c r="Z36" s="20"/>
      <c r="AA36" s="20"/>
      <c r="AB36" s="20"/>
      <c r="AC36" s="20"/>
      <c r="AD36" s="20"/>
      <c r="AE36" s="20"/>
      <c r="AF36" s="20"/>
      <c r="AG36" s="20"/>
    </row>
    <row r="37" spans="2:33" ht="12.6" customHeight="1">
      <c r="B37" s="4"/>
      <c r="C37" s="42"/>
      <c r="D37" s="222"/>
      <c r="E37" s="232" t="s">
        <v>381</v>
      </c>
      <c r="F37" s="232"/>
      <c r="G37" s="232"/>
      <c r="H37" s="232"/>
      <c r="I37" s="232"/>
      <c r="J37" s="232"/>
      <c r="K37" s="232"/>
      <c r="L37" s="232"/>
      <c r="M37" s="232"/>
      <c r="N37" s="232"/>
      <c r="O37" s="232"/>
      <c r="P37" s="232"/>
      <c r="Q37" s="232"/>
      <c r="R37" s="232"/>
      <c r="S37" s="232"/>
      <c r="T37" s="232"/>
      <c r="U37" s="291"/>
      <c r="V37" s="20"/>
      <c r="W37" s="20"/>
      <c r="X37" s="20"/>
      <c r="Y37" s="20"/>
      <c r="Z37" s="20"/>
      <c r="AA37" s="20"/>
      <c r="AB37" s="20"/>
      <c r="AC37" s="20"/>
      <c r="AD37" s="20"/>
      <c r="AE37" s="20"/>
      <c r="AF37" s="20"/>
      <c r="AG37" s="20"/>
    </row>
    <row r="38" spans="2:33" ht="38.1" customHeight="1">
      <c r="B38" s="4"/>
      <c r="C38" s="42"/>
      <c r="D38" s="222"/>
      <c r="E38" s="232"/>
      <c r="F38" s="232"/>
      <c r="G38" s="232"/>
      <c r="H38" s="232"/>
      <c r="I38" s="232"/>
      <c r="J38" s="232"/>
      <c r="K38" s="232"/>
      <c r="L38" s="232"/>
      <c r="M38" s="232"/>
      <c r="N38" s="232"/>
      <c r="O38" s="232"/>
      <c r="P38" s="232"/>
      <c r="Q38" s="232"/>
      <c r="R38" s="232"/>
      <c r="S38" s="232"/>
      <c r="T38" s="232"/>
      <c r="U38" s="291"/>
      <c r="V38" s="20"/>
      <c r="W38" s="20" t="s">
        <v>382</v>
      </c>
      <c r="X38" s="20"/>
      <c r="Y38" s="20"/>
      <c r="Z38" s="20"/>
      <c r="AA38" s="20"/>
      <c r="AB38" s="20"/>
      <c r="AC38" s="20"/>
      <c r="AD38" s="20"/>
      <c r="AE38" s="20"/>
      <c r="AF38" s="20"/>
      <c r="AG38" s="20"/>
    </row>
    <row r="39" spans="2:33" ht="1.5" customHeight="1">
      <c r="B39" s="4"/>
      <c r="C39" s="42"/>
      <c r="D39" s="222"/>
      <c r="E39" s="300"/>
      <c r="F39" s="300"/>
      <c r="G39" s="300"/>
      <c r="H39" s="300"/>
      <c r="I39" s="300"/>
      <c r="J39" s="300"/>
      <c r="K39" s="300"/>
      <c r="L39" s="300"/>
      <c r="M39" s="300"/>
      <c r="N39" s="300"/>
      <c r="O39" s="300"/>
      <c r="P39" s="300"/>
      <c r="Q39" s="300"/>
      <c r="R39" s="300"/>
      <c r="S39" s="300"/>
      <c r="T39" s="300"/>
      <c r="U39" s="291"/>
      <c r="V39" s="20"/>
      <c r="W39" s="20"/>
      <c r="X39" s="20"/>
      <c r="Y39" s="20"/>
      <c r="Z39" s="20"/>
      <c r="AA39" s="20"/>
      <c r="AB39" s="20"/>
      <c r="AC39" s="20"/>
      <c r="AD39" s="20"/>
      <c r="AE39" s="20"/>
      <c r="AF39" s="20"/>
      <c r="AG39" s="20"/>
    </row>
    <row r="40" spans="2:33" ht="15.6">
      <c r="B40" s="4"/>
      <c r="C40" s="42"/>
      <c r="D40" s="222"/>
      <c r="E40" s="253"/>
      <c r="F40" s="253"/>
      <c r="G40" s="253"/>
      <c r="H40" s="253"/>
      <c r="I40" s="253"/>
      <c r="J40" s="253"/>
      <c r="K40" s="253"/>
      <c r="L40" s="253"/>
      <c r="M40" s="253"/>
      <c r="N40" s="253"/>
      <c r="O40" s="253"/>
      <c r="P40" s="253"/>
      <c r="Q40" s="253"/>
      <c r="R40" s="253"/>
      <c r="S40" s="253"/>
      <c r="T40" s="253"/>
      <c r="U40" s="291"/>
      <c r="V40" s="20"/>
      <c r="W40" s="20" t="s">
        <v>383</v>
      </c>
      <c r="X40" s="20"/>
      <c r="Y40" s="20"/>
      <c r="Z40" s="20"/>
      <c r="AA40" s="20"/>
      <c r="AB40" s="20"/>
      <c r="AC40" s="20"/>
      <c r="AD40" s="20"/>
      <c r="AE40" s="20"/>
      <c r="AF40" s="20"/>
      <c r="AG40" s="20"/>
    </row>
    <row r="41" spans="2:33" ht="15.6">
      <c r="B41" s="4"/>
      <c r="C41" s="42"/>
      <c r="D41" s="222"/>
      <c r="E41" s="48" t="s">
        <v>384</v>
      </c>
      <c r="F41" s="142" t="s">
        <v>385</v>
      </c>
      <c r="G41" s="142"/>
      <c r="H41" s="142"/>
      <c r="I41" s="142"/>
      <c r="J41" s="142"/>
      <c r="K41" s="140" t="s">
        <v>240</v>
      </c>
      <c r="L41" s="140"/>
      <c r="M41" s="140" t="str">
        <f>IF(ISNUMBER('Stage 1'!L52),"Value","")</f>
        <v/>
      </c>
      <c r="N41" s="140"/>
      <c r="O41" s="140"/>
      <c r="P41" s="140" t="s">
        <v>241</v>
      </c>
      <c r="Q41" s="140"/>
      <c r="R41" s="140"/>
      <c r="S41" s="140"/>
      <c r="T41" s="49"/>
      <c r="U41" s="291"/>
      <c r="V41" s="20"/>
      <c r="W41" s="20" t="s">
        <v>386</v>
      </c>
      <c r="X41" s="20"/>
      <c r="Y41" s="20"/>
      <c r="Z41" s="20"/>
      <c r="AA41" s="20"/>
      <c r="AB41" s="20"/>
      <c r="AC41" s="20"/>
      <c r="AD41" s="20"/>
      <c r="AE41" s="20"/>
      <c r="AF41" s="20"/>
      <c r="AG41" s="20"/>
    </row>
    <row r="42" spans="2:33" ht="6.6" customHeight="1">
      <c r="B42" s="4"/>
      <c r="C42" s="42"/>
      <c r="D42" s="222"/>
      <c r="E42" s="48"/>
      <c r="F42" s="49"/>
      <c r="G42" s="49"/>
      <c r="H42" s="49"/>
      <c r="I42" s="49"/>
      <c r="J42" s="49"/>
      <c r="K42" s="140"/>
      <c r="L42" s="140"/>
      <c r="M42" s="140"/>
      <c r="N42" s="140"/>
      <c r="O42" s="140"/>
      <c r="P42" s="140"/>
      <c r="Q42" s="140"/>
      <c r="R42" s="140"/>
      <c r="S42" s="140"/>
      <c r="T42" s="49"/>
      <c r="U42" s="291"/>
      <c r="V42" s="20"/>
      <c r="W42" s="20" t="s">
        <v>387</v>
      </c>
      <c r="X42" s="20"/>
      <c r="Y42" s="20"/>
      <c r="Z42" s="20"/>
      <c r="AA42" s="20"/>
      <c r="AB42" s="20"/>
      <c r="AC42" s="20"/>
      <c r="AD42" s="20"/>
      <c r="AE42" s="20"/>
      <c r="AF42" s="20"/>
      <c r="AG42" s="20"/>
    </row>
    <row r="43" spans="2:33" ht="15.6">
      <c r="B43" s="4"/>
      <c r="C43" s="42"/>
      <c r="D43" s="222"/>
      <c r="E43" s="49"/>
      <c r="F43" s="142" t="s">
        <v>388</v>
      </c>
      <c r="G43" s="142"/>
      <c r="H43" s="142"/>
      <c r="I43" s="142"/>
      <c r="J43" s="142"/>
      <c r="K43" s="267">
        <f>K27+K34</f>
        <v>0</v>
      </c>
      <c r="L43" s="263"/>
      <c r="M43" s="299" t="str">
        <f>IF(ISNUMBER('Stage 1'!L52),M27+M34,"")</f>
        <v/>
      </c>
      <c r="N43" s="263"/>
      <c r="O43" s="348">
        <f>O27+O34</f>
        <v>0</v>
      </c>
      <c r="P43" s="241" t="s">
        <v>302</v>
      </c>
      <c r="Q43" s="241"/>
      <c r="R43" s="241"/>
      <c r="S43" s="241"/>
      <c r="T43" s="49"/>
      <c r="U43" s="291"/>
      <c r="V43" s="20"/>
      <c r="W43" s="20" t="s">
        <v>389</v>
      </c>
      <c r="X43" s="20"/>
      <c r="Y43" s="20"/>
      <c r="Z43" s="20"/>
      <c r="AA43" s="20"/>
      <c r="AB43" s="20"/>
      <c r="AC43" s="20"/>
      <c r="AD43" s="20"/>
      <c r="AE43" s="20"/>
      <c r="AF43" s="20"/>
      <c r="AG43" s="20"/>
    </row>
    <row r="44" spans="2:33" ht="15.6">
      <c r="B44" s="4"/>
      <c r="C44" s="42"/>
      <c r="D44" s="222"/>
      <c r="E44" s="49"/>
      <c r="F44" s="142" t="s">
        <v>390</v>
      </c>
      <c r="G44" s="142"/>
      <c r="H44" s="142"/>
      <c r="I44" s="142"/>
      <c r="J44" s="142"/>
      <c r="K44" s="267">
        <f>K28+K35</f>
        <v>0</v>
      </c>
      <c r="L44" s="263"/>
      <c r="M44" s="296"/>
      <c r="N44" s="296"/>
      <c r="O44" s="348">
        <f>O28+O35</f>
        <v>0</v>
      </c>
      <c r="P44" s="241" t="s">
        <v>302</v>
      </c>
      <c r="Q44" s="49"/>
      <c r="R44" s="49"/>
      <c r="S44" s="49"/>
      <c r="T44" s="49"/>
      <c r="U44" s="291"/>
      <c r="V44" s="20"/>
      <c r="W44" s="20"/>
      <c r="X44" s="20"/>
      <c r="Y44" s="20"/>
      <c r="Z44" s="20"/>
      <c r="AA44" s="20"/>
      <c r="AB44" s="20"/>
      <c r="AC44" s="20"/>
      <c r="AD44" s="20"/>
      <c r="AE44" s="20"/>
      <c r="AF44" s="20"/>
      <c r="AG44" s="20"/>
    </row>
    <row r="45" spans="2:33" ht="15.6">
      <c r="B45" s="4"/>
      <c r="C45" s="42"/>
      <c r="D45" s="222"/>
      <c r="E45" s="222"/>
      <c r="F45" s="222"/>
      <c r="G45" s="222"/>
      <c r="H45" s="222"/>
      <c r="I45" s="222"/>
      <c r="J45" s="222"/>
      <c r="K45" s="222"/>
      <c r="L45" s="222"/>
      <c r="M45" s="222"/>
      <c r="N45" s="222"/>
      <c r="O45" s="222"/>
      <c r="P45" s="222"/>
      <c r="Q45" s="222"/>
      <c r="R45" s="222"/>
      <c r="S45" s="222"/>
      <c r="T45" s="222"/>
      <c r="U45" s="291"/>
      <c r="V45" s="20"/>
      <c r="W45" s="20"/>
      <c r="X45" s="20"/>
      <c r="Y45" s="20"/>
      <c r="Z45" s="20"/>
      <c r="AA45" s="20"/>
      <c r="AB45" s="20"/>
      <c r="AC45" s="20"/>
      <c r="AD45" s="20"/>
      <c r="AE45" s="20"/>
      <c r="AF45" s="20"/>
      <c r="AG45" s="20"/>
    </row>
    <row r="46" spans="2:33" ht="12.6" customHeight="1">
      <c r="B46" s="4"/>
      <c r="C46" s="42"/>
      <c r="D46" s="442" t="s">
        <v>391</v>
      </c>
      <c r="E46" s="442"/>
      <c r="F46" s="442"/>
      <c r="G46" s="442"/>
      <c r="H46" s="442"/>
      <c r="I46" s="442"/>
      <c r="J46" s="442"/>
      <c r="K46" s="442"/>
      <c r="L46" s="442"/>
      <c r="M46" s="442"/>
      <c r="N46" s="442"/>
      <c r="O46" s="442"/>
      <c r="P46" s="442"/>
      <c r="Q46" s="442"/>
      <c r="R46" s="442"/>
      <c r="S46" s="442"/>
      <c r="T46" s="442"/>
      <c r="U46" s="291"/>
      <c r="V46" s="20"/>
      <c r="W46" s="20"/>
      <c r="X46" s="20"/>
      <c r="Y46" s="20"/>
      <c r="Z46" s="20"/>
      <c r="AA46" s="20"/>
      <c r="AB46" s="20"/>
      <c r="AC46" s="20"/>
      <c r="AD46" s="20"/>
      <c r="AE46" s="20"/>
      <c r="AF46" s="20"/>
      <c r="AG46" s="20"/>
    </row>
    <row r="47" spans="2:33" ht="35.7" customHeight="1">
      <c r="B47" s="4"/>
      <c r="C47" s="42"/>
      <c r="D47" s="275" t="str">
        <f>IF(K43&gt;0,W38,W36)</f>
        <v>Development will be Phosphate neutral - no mitigation will be required</v>
      </c>
      <c r="E47" s="275"/>
      <c r="F47" s="275"/>
      <c r="G47" s="275"/>
      <c r="H47" s="275"/>
      <c r="I47" s="275"/>
      <c r="J47" s="275"/>
      <c r="K47" s="275"/>
      <c r="L47" s="275"/>
      <c r="M47" s="275"/>
      <c r="N47" s="275"/>
      <c r="O47" s="275"/>
      <c r="P47" s="275"/>
      <c r="Q47" s="275"/>
      <c r="R47" s="275"/>
      <c r="S47" s="275"/>
      <c r="T47" s="275"/>
      <c r="U47" s="291"/>
      <c r="V47" s="20"/>
      <c r="W47" s="20"/>
      <c r="X47" s="20"/>
      <c r="Y47" s="20"/>
      <c r="Z47" s="20"/>
      <c r="AA47" s="20"/>
      <c r="AB47" s="20"/>
      <c r="AC47" s="20"/>
      <c r="AD47" s="20"/>
      <c r="AE47" s="20"/>
      <c r="AF47" s="20"/>
      <c r="AG47" s="20"/>
    </row>
    <row r="48" spans="2:33" ht="4.5" customHeight="1">
      <c r="B48" s="4"/>
      <c r="C48" s="42"/>
      <c r="D48" s="275"/>
      <c r="E48" s="275"/>
      <c r="F48" s="275"/>
      <c r="G48" s="275"/>
      <c r="H48" s="275"/>
      <c r="I48" s="275"/>
      <c r="J48" s="275"/>
      <c r="K48" s="275"/>
      <c r="L48" s="275"/>
      <c r="M48" s="275"/>
      <c r="N48" s="275"/>
      <c r="O48" s="275"/>
      <c r="P48" s="275"/>
      <c r="Q48" s="275"/>
      <c r="R48" s="275"/>
      <c r="S48" s="275"/>
      <c r="T48" s="275"/>
      <c r="U48" s="291"/>
      <c r="V48" s="20"/>
      <c r="W48" s="20"/>
      <c r="X48" s="20"/>
      <c r="Y48" s="20"/>
      <c r="Z48" s="20"/>
      <c r="AA48" s="20"/>
      <c r="AB48" s="20"/>
      <c r="AC48" s="20"/>
      <c r="AD48" s="20"/>
      <c r="AE48" s="20"/>
      <c r="AF48" s="20"/>
      <c r="AG48" s="20"/>
    </row>
    <row r="49" spans="2:33" customHeight="1">
      <c r="B49" s="4"/>
      <c r="C49" s="42"/>
      <c r="D49" s="275" t="str">
        <f>IF(ISNUMBER('Stage 1'!L52),"Post 2026 TP loading","")</f>
        <v/>
      </c>
      <c r="E49" s="275"/>
      <c r="F49" s="275"/>
      <c r="G49" s="275"/>
      <c r="H49" s="275"/>
      <c r="I49" s="275"/>
      <c r="J49" s="275"/>
      <c r="K49" s="275"/>
      <c r="L49" s="275"/>
      <c r="M49" s="275"/>
      <c r="N49" s="275"/>
      <c r="O49" s="275"/>
      <c r="P49" s="275"/>
      <c r="Q49" s="275"/>
      <c r="R49" s="275"/>
      <c r="S49" s="275"/>
      <c r="T49" s="275"/>
      <c r="U49" s="291"/>
      <c r="V49" s="20"/>
      <c r="W49" s="20"/>
      <c r="X49" s="20"/>
      <c r="Y49" s="20"/>
      <c r="Z49" s="20"/>
      <c r="AA49" s="20"/>
      <c r="AB49" s="20"/>
      <c r="AC49" s="20"/>
      <c r="AD49" s="20"/>
      <c r="AE49" s="20"/>
      <c r="AF49" s="20"/>
      <c r="AG49" s="20"/>
    </row>
    <row r="50" spans="2:33" ht="35.7" customHeight="1">
      <c r="B50" s="4"/>
      <c r="C50" s="42"/>
      <c r="D50" s="275" t="str">
        <f>IF(ISNUMBER('Stage 1'!L52),IF(M43&gt;0,W40,W36),"")</f>
        <v/>
      </c>
      <c r="E50" s="275"/>
      <c r="F50" s="275"/>
      <c r="G50" s="275"/>
      <c r="H50" s="275"/>
      <c r="I50" s="275"/>
      <c r="J50" s="275"/>
      <c r="K50" s="275"/>
      <c r="L50" s="275"/>
      <c r="M50" s="275"/>
      <c r="N50" s="275"/>
      <c r="O50" s="275"/>
      <c r="P50" s="275"/>
      <c r="Q50" s="275"/>
      <c r="R50" s="275"/>
      <c r="S50" s="275"/>
      <c r="T50" s="275"/>
      <c r="U50" s="291"/>
      <c r="V50" s="20"/>
      <c r="W50" s="20"/>
      <c r="X50" s="20"/>
      <c r="Y50" s="20"/>
      <c r="Z50" s="20"/>
      <c r="AA50" s="20"/>
      <c r="AB50" s="20"/>
      <c r="AC50" s="20"/>
      <c r="AD50" s="20"/>
      <c r="AE50" s="20"/>
      <c r="AF50" s="20"/>
      <c r="AG50" s="20"/>
    </row>
    <row r="51" spans="2:33" ht="4.2" customHeight="1">
      <c r="B51" s="4"/>
      <c r="C51" s="42"/>
      <c r="D51" s="275"/>
      <c r="E51" s="275"/>
      <c r="F51" s="275"/>
      <c r="G51" s="275"/>
      <c r="H51" s="275"/>
      <c r="I51" s="275"/>
      <c r="J51" s="275"/>
      <c r="K51" s="275"/>
      <c r="L51" s="275"/>
      <c r="M51" s="275"/>
      <c r="N51" s="275"/>
      <c r="O51" s="275"/>
      <c r="P51" s="275"/>
      <c r="Q51" s="275"/>
      <c r="R51" s="275"/>
      <c r="S51" s="275"/>
      <c r="T51" s="275"/>
      <c r="U51" s="291"/>
      <c r="V51" s="20"/>
      <c r="W51" s="20"/>
      <c r="X51" s="20"/>
      <c r="Y51" s="20"/>
      <c r="Z51" s="20"/>
      <c r="AA51" s="20"/>
      <c r="AB51" s="20"/>
      <c r="AC51" s="20"/>
      <c r="AD51" s="20"/>
      <c r="AE51" s="20"/>
      <c r="AF51" s="20"/>
      <c r="AG51" s="20"/>
    </row>
    <row r="52" spans="2:33" ht="15.6" customHeight="1">
      <c r="B52" s="4"/>
      <c r="C52" s="42"/>
      <c r="D52" s="275" t="s">
        <v>392</v>
      </c>
      <c r="E52" s="275"/>
      <c r="F52" s="275"/>
      <c r="G52" s="275"/>
      <c r="H52" s="275"/>
      <c r="I52" s="275"/>
      <c r="J52" s="275"/>
      <c r="K52" s="275"/>
      <c r="L52" s="275"/>
      <c r="M52" s="275"/>
      <c r="N52" s="275"/>
      <c r="O52" s="275"/>
      <c r="P52" s="275"/>
      <c r="Q52" s="275"/>
      <c r="R52" s="275"/>
      <c r="S52" s="275"/>
      <c r="T52" s="275"/>
      <c r="U52" s="291"/>
      <c r="V52" s="20"/>
      <c r="W52" s="20"/>
      <c r="X52" s="20"/>
      <c r="Y52" s="20"/>
      <c r="Z52" s="20"/>
      <c r="AA52" s="20"/>
      <c r="AB52" s="20"/>
      <c r="AC52" s="20"/>
      <c r="AD52" s="20"/>
      <c r="AE52" s="20"/>
      <c r="AF52" s="20"/>
      <c r="AG52" s="20"/>
    </row>
    <row r="53" spans="2:33" ht="35.7" customHeight="1">
      <c r="B53" s="4"/>
      <c r="C53" s="42"/>
      <c r="D53" s="275" t="str">
        <f>IF(O43&gt;0,W42,W36)</f>
        <v>Development will be Phosphate neutral - no mitigation will be required</v>
      </c>
      <c r="E53" s="275"/>
      <c r="F53" s="275"/>
      <c r="G53" s="275"/>
      <c r="H53" s="275"/>
      <c r="I53" s="275"/>
      <c r="J53" s="275"/>
      <c r="K53" s="275"/>
      <c r="L53" s="275"/>
      <c r="M53" s="275"/>
      <c r="N53" s="275"/>
      <c r="O53" s="275"/>
      <c r="P53" s="275"/>
      <c r="Q53" s="275"/>
      <c r="R53" s="275"/>
      <c r="S53" s="275"/>
      <c r="T53" s="275"/>
      <c r="U53" s="291"/>
      <c r="V53" s="20"/>
      <c r="W53" s="20"/>
      <c r="X53" s="20"/>
      <c r="Y53" s="20"/>
      <c r="Z53" s="20"/>
      <c r="AA53" s="20"/>
      <c r="AB53" s="20"/>
      <c r="AC53" s="20"/>
      <c r="AD53" s="20"/>
      <c r="AE53" s="20"/>
      <c r="AF53" s="20"/>
      <c r="AG53" s="20"/>
    </row>
    <row r="54" spans="2:33" ht="9" customHeight="1">
      <c r="B54" s="4"/>
      <c r="C54" s="42"/>
      <c r="D54" s="275"/>
      <c r="E54" s="275"/>
      <c r="F54" s="275"/>
      <c r="G54" s="275"/>
      <c r="H54" s="275"/>
      <c r="I54" s="275"/>
      <c r="J54" s="275"/>
      <c r="K54" s="275"/>
      <c r="L54" s="275"/>
      <c r="M54" s="275"/>
      <c r="N54" s="275"/>
      <c r="O54" s="275"/>
      <c r="P54" s="275"/>
      <c r="Q54" s="275"/>
      <c r="R54" s="275"/>
      <c r="S54" s="275"/>
      <c r="T54" s="275"/>
      <c r="U54" s="291"/>
      <c r="V54" s="20"/>
      <c r="W54" s="20"/>
      <c r="X54" s="20"/>
      <c r="Y54" s="20"/>
      <c r="Z54" s="20"/>
      <c r="AA54" s="20"/>
      <c r="AB54" s="20"/>
      <c r="AC54" s="20"/>
      <c r="AD54" s="20"/>
      <c r="AE54" s="20"/>
      <c r="AF54" s="20"/>
      <c r="AG54" s="20"/>
    </row>
    <row r="55" spans="2:33" ht="16.5" customHeight="1">
      <c r="B55" s="4"/>
      <c r="C55" s="42"/>
      <c r="D55" s="275" t="s">
        <v>393</v>
      </c>
      <c r="E55" s="275"/>
      <c r="F55" s="275"/>
      <c r="G55" s="275"/>
      <c r="H55" s="275"/>
      <c r="I55" s="275"/>
      <c r="J55" s="275"/>
      <c r="K55" s="275"/>
      <c r="L55" s="275"/>
      <c r="M55" s="275"/>
      <c r="N55" s="275"/>
      <c r="O55" s="275"/>
      <c r="P55" s="275"/>
      <c r="Q55" s="275"/>
      <c r="R55" s="275"/>
      <c r="S55" s="275"/>
      <c r="T55" s="275"/>
      <c r="U55" s="291"/>
      <c r="V55" s="20"/>
      <c r="W55" s="20"/>
      <c r="X55" s="20"/>
      <c r="Y55" s="20"/>
      <c r="Z55" s="20"/>
      <c r="AA55" s="20"/>
      <c r="AB55" s="20"/>
      <c r="AC55" s="20"/>
      <c r="AD55" s="20"/>
      <c r="AE55" s="20"/>
      <c r="AF55" s="20"/>
      <c r="AG55" s="20"/>
    </row>
    <row r="56" spans="2:33" ht="35.7" customHeight="1">
      <c r="B56" s="4"/>
      <c r="C56" s="42"/>
      <c r="D56" s="275" t="str">
        <f>IF(K44&gt;0,W41,W35)</f>
        <v>Development will be Nitrate neutral - no mitigation will be required</v>
      </c>
      <c r="E56" s="275"/>
      <c r="F56" s="275"/>
      <c r="G56" s="275"/>
      <c r="H56" s="275"/>
      <c r="I56" s="275"/>
      <c r="J56" s="275"/>
      <c r="K56" s="275"/>
      <c r="L56" s="275"/>
      <c r="M56" s="275"/>
      <c r="N56" s="275"/>
      <c r="O56" s="275"/>
      <c r="P56" s="275"/>
      <c r="Q56" s="275"/>
      <c r="R56" s="275"/>
      <c r="S56" s="275"/>
      <c r="T56" s="275"/>
      <c r="U56" s="291"/>
      <c r="V56" s="20"/>
      <c r="W56" s="20"/>
      <c r="X56" s="20"/>
      <c r="Y56" s="20"/>
      <c r="Z56" s="20"/>
      <c r="AA56" s="20"/>
      <c r="AB56" s="20"/>
      <c r="AC56" s="20"/>
      <c r="AD56" s="20"/>
      <c r="AE56" s="20"/>
      <c r="AF56" s="20"/>
      <c r="AG56" s="20"/>
    </row>
    <row r="57" spans="2:33" ht="8.1" customHeight="1">
      <c r="B57" s="4"/>
      <c r="C57" s="42"/>
      <c r="D57" s="275"/>
      <c r="E57" s="275"/>
      <c r="F57" s="275"/>
      <c r="G57" s="275"/>
      <c r="H57" s="275"/>
      <c r="I57" s="275"/>
      <c r="J57" s="275"/>
      <c r="K57" s="275"/>
      <c r="L57" s="275"/>
      <c r="M57" s="275"/>
      <c r="N57" s="275"/>
      <c r="O57" s="275"/>
      <c r="P57" s="275"/>
      <c r="Q57" s="275"/>
      <c r="R57" s="275"/>
      <c r="S57" s="275"/>
      <c r="T57" s="275"/>
      <c r="U57" s="291"/>
      <c r="V57" s="20"/>
      <c r="W57" s="20"/>
      <c r="X57" s="20"/>
      <c r="Y57" s="20"/>
      <c r="Z57" s="20"/>
      <c r="AA57" s="20"/>
      <c r="AB57" s="20"/>
      <c r="AC57" s="20"/>
      <c r="AD57" s="20"/>
      <c r="AE57" s="20"/>
      <c r="AF57" s="20"/>
      <c r="AG57" s="20"/>
    </row>
    <row r="58" spans="2:33" ht="17.7" customHeight="1">
      <c r="B58" s="4"/>
      <c r="C58" s="42"/>
      <c r="D58" s="275" t="s">
        <v>394</v>
      </c>
      <c r="E58" s="275"/>
      <c r="F58" s="275"/>
      <c r="G58" s="275"/>
      <c r="H58" s="275"/>
      <c r="I58" s="275"/>
      <c r="J58" s="275"/>
      <c r="K58" s="275"/>
      <c r="L58" s="275"/>
      <c r="M58" s="275"/>
      <c r="N58" s="275"/>
      <c r="O58" s="275"/>
      <c r="P58" s="275"/>
      <c r="Q58" s="275"/>
      <c r="R58" s="275"/>
      <c r="S58" s="275"/>
      <c r="T58" s="275"/>
      <c r="U58" s="291"/>
      <c r="V58" s="20"/>
      <c r="W58" s="20"/>
      <c r="X58" s="20"/>
      <c r="Y58" s="20"/>
      <c r="Z58" s="20"/>
      <c r="AA58" s="20"/>
      <c r="AB58" s="20"/>
      <c r="AC58" s="20"/>
      <c r="AD58" s="20"/>
      <c r="AE58" s="20"/>
      <c r="AF58" s="20"/>
      <c r="AG58" s="20"/>
    </row>
    <row r="59" spans="2:33" ht="42.6" customHeight="1">
      <c r="B59" s="4"/>
      <c r="C59" s="42"/>
      <c r="D59" s="275" t="str">
        <f>IF(O44&gt;0,W43,W35)</f>
        <v>Development will be Nitrate neutral - no mitigation will be required</v>
      </c>
      <c r="E59" s="275"/>
      <c r="F59" s="275"/>
      <c r="G59" s="275"/>
      <c r="H59" s="275"/>
      <c r="I59" s="275"/>
      <c r="J59" s="275"/>
      <c r="K59" s="275"/>
      <c r="L59" s="275"/>
      <c r="M59" s="275"/>
      <c r="N59" s="275"/>
      <c r="O59" s="275"/>
      <c r="P59" s="275"/>
      <c r="Q59" s="275"/>
      <c r="R59" s="275"/>
      <c r="S59" s="275"/>
      <c r="T59" s="275"/>
      <c r="U59" s="291"/>
      <c r="V59" s="20"/>
      <c r="W59" s="20"/>
      <c r="X59" s="20"/>
      <c r="Y59" s="20"/>
      <c r="Z59" s="20"/>
      <c r="AA59" s="20"/>
      <c r="AB59" s="20"/>
      <c r="AC59" s="20"/>
      <c r="AD59" s="20"/>
      <c r="AE59" s="20"/>
      <c r="AF59" s="20"/>
      <c r="AG59" s="20"/>
    </row>
    <row r="60" spans="2:33" ht="6" customHeight="1" thickBot="1">
      <c r="B60" s="7"/>
      <c r="C60" s="51"/>
      <c r="D60" s="265"/>
      <c r="E60" s="265"/>
      <c r="F60" s="265"/>
      <c r="G60" s="265"/>
      <c r="H60" s="265"/>
      <c r="I60" s="265"/>
      <c r="J60" s="265"/>
      <c r="K60" s="265"/>
      <c r="L60" s="265"/>
      <c r="M60" s="265"/>
      <c r="N60" s="265"/>
      <c r="O60" s="265"/>
      <c r="P60" s="265"/>
      <c r="Q60" s="265"/>
      <c r="R60" s="265"/>
      <c r="S60" s="265"/>
      <c r="T60" s="265"/>
      <c r="U60" s="301"/>
      <c r="V60" s="20"/>
      <c r="W60" s="20"/>
      <c r="X60" s="20"/>
      <c r="Y60" s="20"/>
      <c r="Z60" s="20"/>
      <c r="AA60" s="20"/>
      <c r="AB60" s="20"/>
      <c r="AC60" s="20"/>
      <c r="AD60" s="20"/>
      <c r="AE60" s="20"/>
      <c r="AF60" s="20"/>
      <c r="AG60" s="20"/>
    </row>
    <row r="61" spans="4:33" ht="15">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row>
  </sheetData>
  <sheetProtection algorithmName="SHA-512" hashValue="mSItIOQN3S31rmO6Jd+uBA5M/1YOTOjT2OArmOxBUiPT4DmDCMT9x0NuJeYqwA9ZI+q6QoEY4Z5dI1Uf/Kec2Q==" saltValue="6Ux61ELNMd/Zk6cciDQCiQ==" spinCount="100000" sheet="1" selectLockedCells="1"/>
  <mergeCells count="29">
    <mergeCell ref="D52:T52"/>
    <mergeCell ref="D53:T53"/>
    <mergeCell ref="D58:T58"/>
    <mergeCell ref="D59:T59"/>
    <mergeCell ref="D55:T55"/>
    <mergeCell ref="D56:T56"/>
    <mergeCell ref="F3:T3"/>
    <mergeCell ref="E4:T6"/>
    <mergeCell ref="F10:J10"/>
    <mergeCell ref="F12:J12"/>
    <mergeCell ref="F18:J18"/>
    <mergeCell ref="D50:T50"/>
    <mergeCell ref="D46:T46"/>
    <mergeCell ref="D49:T49"/>
    <mergeCell ref="D47:T47"/>
    <mergeCell ref="E37:T38"/>
    <mergeCell ref="F44:J44"/>
    <mergeCell ref="D48:T48"/>
    <mergeCell ref="F34:J34"/>
    <mergeCell ref="F41:J41"/>
    <mergeCell ref="F43:J43"/>
    <mergeCell ref="R8:S8"/>
    <mergeCell ref="F13:J13"/>
    <mergeCell ref="F21:J21"/>
    <mergeCell ref="F20:J20"/>
    <mergeCell ref="F25:J25"/>
    <mergeCell ref="F27:J27"/>
    <mergeCell ref="F31:J31"/>
    <mergeCell ref="F33:J33"/>
  </mergeCells>
  <conditionalFormatting sqref="D58">
    <cfRule type="containsText" dxfId="21" priority="6" operator="containsText" text="stage">
      <formula>NOT(ISERROR(SEARCH("stage",D58)))</formula>
    </cfRule>
    <cfRule type="containsText" dxfId="20" priority="7" operator="containsText" text="neutral">
      <formula>NOT(ISERROR(SEARCH("neutral",D58)))</formula>
    </cfRule>
  </conditionalFormatting>
  <conditionalFormatting sqref="D47:T48 D49 D50:T51 D52:D57 D59">
    <cfRule type="containsText" dxfId="19" priority="26" operator="containsText" text="additional">
      <formula>NOT(ISERROR(SEARCH("additional",D47)))</formula>
    </cfRule>
    <cfRule type="containsText" dxfId="18" priority="27" operator="containsText" text="neutral">
      <formula>NOT(ISERROR(SEARCH("neutral",D47)))</formula>
    </cfRule>
  </conditionalFormatting>
  <conditionalFormatting sqref="M12">
    <cfRule type="expression" dxfId="17" priority="5">
      <formula>AND($M$12&lt;K12)</formula>
    </cfRule>
  </conditionalFormatting>
  <conditionalFormatting sqref="M20">
    <cfRule type="expression" dxfId="16" priority="4">
      <formula>AND($M$12&lt;K12)</formula>
    </cfRule>
  </conditionalFormatting>
  <conditionalFormatting sqref="M27">
    <cfRule type="expression" dxfId="15" priority="3">
      <formula>AND($M$12&lt;K12)</formula>
    </cfRule>
  </conditionalFormatting>
  <conditionalFormatting sqref="M33:M34">
    <cfRule type="expression" dxfId="14" priority="2">
      <formula>AND($M$12&lt;K12)</formula>
    </cfRule>
  </conditionalFormatting>
  <conditionalFormatting sqref="M43">
    <cfRule type="expression" dxfId="13" priority="1">
      <formula>AND($M$12&lt;K12)</formula>
    </cfRule>
  </conditionalFormatting>
  <pageMargins left="0.70866141732283472" right="0.70866141732283472" top="0.74803149606299213" bottom="0.74803149606299213" header="0.31496062992125984" footer="0.31496062992125984"/>
  <pageSetup paperSize="9" scale="52" orientation="landscape" horizontalDpi="360" verticalDpi="360"/>
  <headerFooter scaleWithDoc="1" alignWithMargins="1" differentFirst="0" differentOddEven="0">
    <oddHeader>&amp;LPhosphate Budget Calculator&amp;CStage 4</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9" id="{448f1df5-91e0-49c7-8f23-12963de0e108}">
            <xm:f>ISNUMBER('Stage 1'!N52)</xm:f>
            <x14:dxf>
              <fill>
                <patternFill>
                  <bgColor rgb="FFDDEBF7"/>
                </patternFill>
              </fill>
            </x14:dxf>
          </x14:cfRule>
          <xm:sqref>R13:R15</xm:sqref>
        </x14:conditionalFormatting>
        <x14:conditionalFormatting xmlns:xm="http://schemas.microsoft.com/office/excel/2006/main">
          <x14:cfRule type="expression" priority="8" id="{400dbf22-2718-495a-9e05-97f0f5257b77}">
            <xm:f>ISNUMBER('Stage 1'!N52)</xm:f>
            <x14:dxf>
              <fill>
                <patternFill>
                  <bgColor rgb="FFDDEBF7"/>
                </patternFill>
              </fill>
            </x14:dxf>
          </x14:cfRule>
          <xm:sqref>S13:S15</xm:sqref>
        </x14:conditionalFormatting>
      </x14:conditionalFormattings>
    </ext>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BA98"/>
  <sheetViews>
    <sheetView topLeftCell="A73" view="normal" workbookViewId="0">
      <selection pane="topLeft" activeCell="Y42" sqref="Y42"/>
    </sheetView>
  </sheetViews>
  <sheetFormatPr zeroHeight="true" defaultRowHeight="13.2"/>
  <cols>
    <col min="2" max="3" width="0.70703125" customWidth="1"/>
    <col min="4" max="4" width="2.27734375" customWidth="1"/>
    <col min="5" max="5" width="11" customWidth="1"/>
    <col min="7" max="7" width="10" customWidth="1"/>
    <col min="8" max="8" width="10.27734375" customWidth="1"/>
    <col min="9" max="9" width="14" customWidth="1"/>
    <col min="10" max="10" width="13.5703125" customWidth="1"/>
    <col min="11" max="11" width="10" customWidth="1"/>
    <col min="12" max="12" width="2.27734375" customWidth="1"/>
    <col min="13" max="13" width="10" customWidth="1"/>
    <col min="14" max="14" width="12.27734375" customWidth="1"/>
    <col min="15" max="15" width="14.7109375" customWidth="1"/>
    <col min="16" max="16" width="10.5703125" customWidth="1"/>
    <col min="17" max="17" width="2.27734375" customWidth="1"/>
    <col min="18" max="18" width="10.27734375" customWidth="1"/>
    <col min="19" max="19" width="11.7109375" customWidth="1"/>
    <col min="20" max="20" width="5.41796875" customWidth="1"/>
    <col min="21" max="21" width="0.70703125" customWidth="1"/>
    <col min="22" max="22" width="12.27734375" customWidth="1"/>
    <col min="24" max="24" width="25.5703125" customWidth="1"/>
    <col min="25" max="25" width="14.7109375" customWidth="1"/>
    <col min="26" max="26" width="11.7109375" customWidth="1"/>
    <col min="27" max="27" width="6.27734375" hidden="1" customWidth="1"/>
    <col min="28" max="28" width="6.140625" hidden="1" customWidth="1"/>
    <col min="29" max="29" width="2.27734375" customWidth="1"/>
    <col min="34" max="34" width="8.7109375" customWidth="1"/>
  </cols>
  <sheetData>
    <row r="1" spans="1:1" ht="8.7" customHeight="1" thickBot="1">
      <c r="A1" s="77" t="s">
        <v>395</v>
      </c>
    </row>
    <row r="2" spans="2:29" ht="11.7" customHeight="1">
      <c r="B2" s="43"/>
      <c r="C2" s="44"/>
      <c r="D2" s="302"/>
      <c r="E2" s="302"/>
      <c r="F2" s="302"/>
      <c r="G2" s="302"/>
      <c r="H2" s="302"/>
      <c r="I2" s="302"/>
      <c r="J2" s="302"/>
      <c r="K2" s="302"/>
      <c r="L2" s="302"/>
      <c r="M2" s="302"/>
      <c r="N2" s="302"/>
      <c r="O2" s="302"/>
      <c r="P2" s="302"/>
      <c r="Q2" s="302"/>
      <c r="R2" s="302"/>
      <c r="S2" s="302"/>
      <c r="T2" s="302"/>
      <c r="U2" s="303"/>
      <c r="V2" s="224"/>
      <c r="W2" s="224"/>
      <c r="X2" s="224"/>
      <c r="Y2" s="224"/>
      <c r="Z2" s="224"/>
      <c r="AA2" s="224"/>
      <c r="AB2" s="224"/>
      <c r="AC2" s="224"/>
    </row>
    <row r="3" spans="2:29" ht="28.5" customHeight="1">
      <c r="B3" s="46"/>
      <c r="C3" s="40"/>
      <c r="D3" s="272"/>
      <c r="E3" s="192" t="s">
        <v>395</v>
      </c>
      <c r="F3" s="229" t="s">
        <v>396</v>
      </c>
      <c r="G3" s="229"/>
      <c r="H3" s="229"/>
      <c r="I3" s="229"/>
      <c r="J3" s="229"/>
      <c r="K3" s="229"/>
      <c r="L3" s="229"/>
      <c r="M3" s="229"/>
      <c r="N3" s="229"/>
      <c r="O3" s="229"/>
      <c r="P3" s="229"/>
      <c r="Q3" s="229"/>
      <c r="R3" s="229"/>
      <c r="S3" s="229"/>
      <c r="T3" s="229"/>
      <c r="U3" s="230"/>
      <c r="V3" s="224"/>
      <c r="W3" s="224"/>
      <c r="X3" s="224"/>
      <c r="Y3" s="224"/>
      <c r="Z3" s="224"/>
      <c r="AA3" s="224"/>
      <c r="AB3" s="224"/>
      <c r="AC3" s="224"/>
    </row>
    <row r="4" spans="2:29" ht="6.75" customHeight="1">
      <c r="B4" s="46"/>
      <c r="C4" s="54"/>
      <c r="D4" s="273"/>
      <c r="E4" s="232" t="s">
        <v>397</v>
      </c>
      <c r="F4" s="232"/>
      <c r="G4" s="232"/>
      <c r="H4" s="232"/>
      <c r="I4" s="232"/>
      <c r="J4" s="232"/>
      <c r="K4" s="232"/>
      <c r="L4" s="232"/>
      <c r="M4" s="232"/>
      <c r="N4" s="232"/>
      <c r="O4" s="232"/>
      <c r="P4" s="232"/>
      <c r="Q4" s="232"/>
      <c r="R4" s="232"/>
      <c r="S4" s="232"/>
      <c r="T4" s="232"/>
      <c r="U4" s="230"/>
      <c r="V4" s="224"/>
      <c r="W4" s="224"/>
      <c r="X4" s="224"/>
      <c r="Y4" s="224"/>
      <c r="Z4" s="224"/>
      <c r="AA4" s="224"/>
      <c r="AB4" s="224"/>
      <c r="AC4" s="224"/>
    </row>
    <row r="5" spans="2:29" ht="6.75" customHeight="1">
      <c r="B5" s="46"/>
      <c r="C5" s="54"/>
      <c r="D5" s="273"/>
      <c r="E5" s="232"/>
      <c r="F5" s="232"/>
      <c r="G5" s="232"/>
      <c r="H5" s="232"/>
      <c r="I5" s="232"/>
      <c r="J5" s="232"/>
      <c r="K5" s="232"/>
      <c r="L5" s="232"/>
      <c r="M5" s="232"/>
      <c r="N5" s="232"/>
      <c r="O5" s="232"/>
      <c r="P5" s="232"/>
      <c r="Q5" s="232"/>
      <c r="R5" s="232"/>
      <c r="S5" s="232"/>
      <c r="T5" s="232"/>
      <c r="U5" s="230"/>
      <c r="V5" s="224"/>
      <c r="W5" s="224"/>
      <c r="X5" s="224"/>
      <c r="Y5" s="224"/>
      <c r="Z5" s="224"/>
      <c r="AA5" s="224"/>
      <c r="AB5" s="224"/>
      <c r="AC5" s="224"/>
    </row>
    <row r="6" spans="2:29" ht="24.75" customHeight="1">
      <c r="B6" s="46"/>
      <c r="C6" s="42"/>
      <c r="D6" s="222"/>
      <c r="E6" s="232"/>
      <c r="F6" s="232"/>
      <c r="G6" s="232"/>
      <c r="H6" s="232"/>
      <c r="I6" s="232"/>
      <c r="J6" s="232"/>
      <c r="K6" s="232"/>
      <c r="L6" s="232"/>
      <c r="M6" s="232"/>
      <c r="N6" s="232"/>
      <c r="O6" s="232"/>
      <c r="P6" s="232"/>
      <c r="Q6" s="232"/>
      <c r="R6" s="232"/>
      <c r="S6" s="232"/>
      <c r="T6" s="232"/>
      <c r="U6" s="230"/>
      <c r="V6" s="224"/>
      <c r="W6" s="224"/>
      <c r="X6" s="224"/>
      <c r="Y6" s="224"/>
      <c r="Z6" s="224"/>
      <c r="AA6" s="224"/>
      <c r="AB6" s="224"/>
      <c r="AC6" s="224"/>
    </row>
    <row r="7" spans="2:29" ht="21" customHeight="1">
      <c r="B7" s="46"/>
      <c r="C7" s="42"/>
      <c r="D7" s="266"/>
      <c r="E7" s="274"/>
      <c r="F7" s="274"/>
      <c r="G7" s="274"/>
      <c r="H7" s="274"/>
      <c r="I7" s="274"/>
      <c r="J7" s="274"/>
      <c r="K7" s="274"/>
      <c r="L7" s="274"/>
      <c r="M7" s="274"/>
      <c r="N7" s="274"/>
      <c r="O7" s="274"/>
      <c r="P7" s="274"/>
      <c r="Q7" s="274"/>
      <c r="R7" s="274"/>
      <c r="S7" s="274"/>
      <c r="T7" s="274"/>
      <c r="U7" s="230"/>
      <c r="V7" s="224"/>
      <c r="W7" s="224"/>
      <c r="X7" s="224"/>
      <c r="Y7" s="224"/>
      <c r="Z7" s="224"/>
      <c r="AA7" s="224"/>
      <c r="AB7" s="224"/>
      <c r="AC7" s="224"/>
    </row>
    <row r="8" spans="2:29" ht="37.5" customHeight="1">
      <c r="B8" s="46"/>
      <c r="C8" s="55"/>
      <c r="D8" s="222"/>
      <c r="E8" s="48" t="s">
        <v>238</v>
      </c>
      <c r="F8" s="138" t="s">
        <v>398</v>
      </c>
      <c r="G8" s="138"/>
      <c r="H8" s="138"/>
      <c r="I8" s="138"/>
      <c r="J8" s="138"/>
      <c r="K8" s="140" t="s">
        <v>240</v>
      </c>
      <c r="L8" s="140"/>
      <c r="M8" s="140" t="s">
        <v>241</v>
      </c>
      <c r="N8" s="221"/>
      <c r="O8" s="140"/>
      <c r="P8" s="140"/>
      <c r="Q8" s="140"/>
      <c r="R8" s="140"/>
      <c r="S8" s="140"/>
      <c r="T8" s="49"/>
      <c r="U8" s="230"/>
      <c r="V8" s="224"/>
      <c r="W8" s="224"/>
      <c r="X8" s="224"/>
      <c r="Y8" s="224"/>
      <c r="Z8" s="224"/>
      <c r="AA8" s="224"/>
      <c r="AB8" s="224"/>
      <c r="AC8" s="224"/>
    </row>
    <row r="9" spans="2:29" ht="4.5" customHeight="1">
      <c r="B9" s="46"/>
      <c r="C9" s="42"/>
      <c r="D9" s="222"/>
      <c r="E9" s="49"/>
      <c r="F9" s="49"/>
      <c r="G9" s="49"/>
      <c r="H9" s="49"/>
      <c r="I9" s="49"/>
      <c r="J9" s="49"/>
      <c r="K9" s="49"/>
      <c r="L9" s="49"/>
      <c r="M9" s="49"/>
      <c r="N9" s="221"/>
      <c r="O9" s="49"/>
      <c r="P9" s="49"/>
      <c r="Q9" s="49"/>
      <c r="R9" s="49"/>
      <c r="S9" s="49"/>
      <c r="T9" s="49"/>
      <c r="U9" s="230"/>
      <c r="V9" s="224"/>
      <c r="W9" s="224"/>
      <c r="X9" s="224"/>
      <c r="Y9" s="224"/>
      <c r="Z9" s="224"/>
      <c r="AA9" s="224"/>
      <c r="AB9" s="224"/>
      <c r="AC9" s="224"/>
    </row>
    <row r="10" spans="2:29" ht="31.2" customHeight="1">
      <c r="B10" s="46"/>
      <c r="C10" s="42"/>
      <c r="D10" s="222"/>
      <c r="E10" s="49"/>
      <c r="F10" s="38" t="s">
        <v>399</v>
      </c>
      <c r="G10" s="49"/>
      <c r="H10" s="49"/>
      <c r="I10" s="49"/>
      <c r="J10" s="49"/>
      <c r="K10" s="267">
        <f>IF('Stage 4'!K43&gt;0,'Stage 4'!K43,0)</f>
        <v>0</v>
      </c>
      <c r="L10" s="263"/>
      <c r="M10" s="241" t="s">
        <v>302</v>
      </c>
      <c r="N10" s="221"/>
      <c r="O10" s="241"/>
      <c r="P10" s="241"/>
      <c r="Q10" s="241"/>
      <c r="R10" s="241"/>
      <c r="S10" s="241"/>
      <c r="T10" s="49"/>
      <c r="U10" s="230"/>
      <c r="V10" s="224"/>
      <c r="W10" s="224"/>
      <c r="X10" s="224"/>
      <c r="Y10" s="224"/>
      <c r="Z10" s="224"/>
      <c r="AA10" s="224"/>
      <c r="AB10" s="224"/>
      <c r="AC10" s="224"/>
    </row>
    <row r="11" spans="2:29" ht="23.7" customHeight="1">
      <c r="B11" s="46"/>
      <c r="C11" s="42"/>
      <c r="D11" s="222"/>
      <c r="E11" s="49"/>
      <c r="F11" s="38" t="s">
        <v>400</v>
      </c>
      <c r="G11" s="49"/>
      <c r="H11" s="49"/>
      <c r="I11" s="49"/>
      <c r="J11" s="49"/>
      <c r="K11" s="267">
        <f>IF('Stage 4'!K44&gt;0,'Stage 4'!K44,0)</f>
        <v>0</v>
      </c>
      <c r="L11" s="263"/>
      <c r="M11" s="241" t="s">
        <v>302</v>
      </c>
      <c r="N11" s="221"/>
      <c r="O11" s="241"/>
      <c r="P11" s="241"/>
      <c r="Q11" s="241"/>
      <c r="R11" s="241"/>
      <c r="S11" s="241"/>
      <c r="T11" s="49"/>
      <c r="U11" s="230"/>
      <c r="V11" s="224"/>
      <c r="W11" s="224"/>
      <c r="X11" s="224"/>
      <c r="Y11" s="224"/>
      <c r="Z11" s="224"/>
      <c r="AA11" s="224"/>
      <c r="AB11" s="224"/>
      <c r="AC11" s="224"/>
    </row>
    <row r="12" spans="2:29" ht="17.7" customHeight="1" thickBot="1">
      <c r="B12" s="46"/>
      <c r="C12" s="42"/>
      <c r="D12" s="222"/>
      <c r="E12" s="49"/>
      <c r="F12" s="49"/>
      <c r="G12" s="49"/>
      <c r="H12" s="49"/>
      <c r="I12" s="49"/>
      <c r="J12" s="49"/>
      <c r="K12" s="49"/>
      <c r="L12" s="49"/>
      <c r="M12" s="49"/>
      <c r="N12" s="49"/>
      <c r="O12" s="49"/>
      <c r="P12" s="49"/>
      <c r="Q12" s="49"/>
      <c r="R12" s="242"/>
      <c r="S12" s="242"/>
      <c r="T12" s="242"/>
      <c r="U12" s="230"/>
      <c r="V12" s="304"/>
      <c r="W12" s="246"/>
      <c r="X12" s="246"/>
      <c r="Y12" s="246"/>
      <c r="Z12" s="246"/>
      <c r="AA12" s="246"/>
      <c r="AB12" s="246"/>
      <c r="AC12" s="246"/>
    </row>
    <row r="13" spans="2:29" ht="7.2" customHeight="1">
      <c r="B13" s="46"/>
      <c r="C13" s="42"/>
      <c r="D13" s="266"/>
      <c r="E13" s="253"/>
      <c r="F13" s="253"/>
      <c r="G13" s="253"/>
      <c r="H13" s="253"/>
      <c r="I13" s="253"/>
      <c r="J13" s="253"/>
      <c r="K13" s="253"/>
      <c r="L13" s="253"/>
      <c r="M13" s="253"/>
      <c r="N13" s="253"/>
      <c r="O13" s="253"/>
      <c r="P13" s="253"/>
      <c r="Q13" s="253"/>
      <c r="R13" s="49"/>
      <c r="S13" s="49"/>
      <c r="T13" s="49"/>
      <c r="U13" s="222"/>
      <c r="V13" s="222"/>
      <c r="W13" s="222"/>
      <c r="X13" s="222"/>
      <c r="Y13" s="222"/>
      <c r="Z13" s="222"/>
      <c r="AA13" s="222"/>
      <c r="AB13" s="222"/>
      <c r="AC13" s="305"/>
    </row>
    <row r="14" spans="2:29" ht="16.2" customHeight="1">
      <c r="B14" s="46"/>
      <c r="C14" s="42"/>
      <c r="D14" s="222"/>
      <c r="E14" s="48" t="s">
        <v>259</v>
      </c>
      <c r="F14" s="138" t="s">
        <v>401</v>
      </c>
      <c r="G14" s="138"/>
      <c r="H14" s="138"/>
      <c r="I14" s="138"/>
      <c r="J14" s="138"/>
      <c r="K14" s="49"/>
      <c r="L14" s="49"/>
      <c r="M14" s="49"/>
      <c r="N14" s="49"/>
      <c r="O14" s="49"/>
      <c r="P14" s="49"/>
      <c r="Q14" s="49"/>
      <c r="R14" s="49"/>
      <c r="S14" s="49"/>
      <c r="T14" s="49"/>
      <c r="U14" s="49"/>
      <c r="V14" s="49"/>
      <c r="W14" s="49"/>
      <c r="X14" s="49"/>
      <c r="Y14" s="49"/>
      <c r="Z14" s="49"/>
      <c r="AA14" s="49"/>
      <c r="AB14" s="49"/>
      <c r="AC14" s="306"/>
    </row>
    <row r="15" spans="2:29" ht="10.5" customHeight="1">
      <c r="B15" s="46"/>
      <c r="C15" s="42"/>
      <c r="D15" s="222"/>
      <c r="E15" s="49"/>
      <c r="F15" s="49"/>
      <c r="G15" s="49"/>
      <c r="H15" s="49"/>
      <c r="I15" s="49"/>
      <c r="J15" s="49"/>
      <c r="K15" s="49"/>
      <c r="L15" s="49"/>
      <c r="M15" s="49"/>
      <c r="N15" s="49"/>
      <c r="O15" s="49"/>
      <c r="P15" s="252"/>
      <c r="Q15" s="49"/>
      <c r="R15" s="49"/>
      <c r="S15" s="49"/>
      <c r="T15" s="49"/>
      <c r="U15" s="49"/>
      <c r="V15" s="49"/>
      <c r="W15" s="49"/>
      <c r="X15" s="49"/>
      <c r="Y15" s="66"/>
      <c r="Z15" s="49"/>
      <c r="AA15" s="49"/>
      <c r="AB15" s="49"/>
      <c r="AC15" s="306"/>
    </row>
    <row r="16" spans="2:29" ht="14.7" customHeight="1">
      <c r="B16" s="46"/>
      <c r="C16" s="42"/>
      <c r="D16" s="222"/>
      <c r="E16" s="66" t="s">
        <v>402</v>
      </c>
      <c r="F16" s="49" t="s">
        <v>403</v>
      </c>
      <c r="G16" s="49"/>
      <c r="H16" s="49"/>
      <c r="I16" s="49"/>
      <c r="J16" s="49"/>
      <c r="K16" s="233" t="s">
        <v>269</v>
      </c>
      <c r="L16" s="233"/>
      <c r="M16" s="233"/>
      <c r="N16" s="66"/>
      <c r="O16" s="49"/>
      <c r="P16" s="252"/>
      <c r="Q16" s="49"/>
      <c r="R16" s="67" t="s">
        <v>404</v>
      </c>
      <c r="S16" s="67"/>
      <c r="T16" s="138" t="s">
        <v>405</v>
      </c>
      <c r="U16" s="138"/>
      <c r="V16" s="138"/>
      <c r="W16" s="138"/>
      <c r="X16" s="138"/>
      <c r="Y16" s="233" t="s">
        <v>269</v>
      </c>
      <c r="Z16" s="49"/>
      <c r="AA16" s="49"/>
      <c r="AB16" s="49"/>
      <c r="AC16" s="306"/>
    </row>
    <row r="17" spans="2:29" ht="14.7" customHeight="1">
      <c r="B17" s="46"/>
      <c r="C17" s="42"/>
      <c r="D17" s="222"/>
      <c r="E17" s="49"/>
      <c r="F17" s="49"/>
      <c r="G17" s="49"/>
      <c r="H17" s="49"/>
      <c r="I17" s="49"/>
      <c r="J17" s="49"/>
      <c r="K17" s="49"/>
      <c r="L17" s="49"/>
      <c r="M17" s="49"/>
      <c r="N17" s="49"/>
      <c r="O17" s="49"/>
      <c r="P17" s="252"/>
      <c r="Q17" s="49"/>
      <c r="R17" s="49"/>
      <c r="S17" s="49"/>
      <c r="T17" s="49"/>
      <c r="U17" s="49"/>
      <c r="V17" s="49"/>
      <c r="W17" s="49"/>
      <c r="X17" s="49"/>
      <c r="Y17" s="49"/>
      <c r="Z17" s="49"/>
      <c r="AA17" s="49"/>
      <c r="AB17" s="49"/>
      <c r="AC17" s="306"/>
    </row>
    <row r="18" spans="2:29" ht="45" customHeight="1">
      <c r="B18" s="46"/>
      <c r="C18" s="42"/>
      <c r="D18" s="222"/>
      <c r="E18" s="307" t="s">
        <v>406</v>
      </c>
      <c r="F18" s="307"/>
      <c r="G18" s="307"/>
      <c r="H18" s="307"/>
      <c r="I18" s="307"/>
      <c r="J18" s="307"/>
      <c r="K18" s="307"/>
      <c r="L18" s="307"/>
      <c r="M18" s="307"/>
      <c r="N18" s="307"/>
      <c r="O18" s="307"/>
      <c r="P18" s="252"/>
      <c r="Q18" s="49"/>
      <c r="R18" s="49"/>
      <c r="S18" s="49"/>
      <c r="T18" s="307" t="s">
        <v>407</v>
      </c>
      <c r="U18" s="307"/>
      <c r="V18" s="307"/>
      <c r="W18" s="307"/>
      <c r="X18" s="307"/>
      <c r="Y18" s="307"/>
      <c r="Z18" s="307"/>
      <c r="AA18" s="307"/>
      <c r="AB18" s="307"/>
      <c r="AC18" s="306"/>
    </row>
    <row r="19" spans="2:29" ht="14.7" customHeight="1">
      <c r="B19" s="46"/>
      <c r="C19" s="42"/>
      <c r="D19" s="222"/>
      <c r="E19" s="49"/>
      <c r="F19" s="49"/>
      <c r="G19" s="49"/>
      <c r="H19" s="49"/>
      <c r="I19" s="49"/>
      <c r="J19" s="49"/>
      <c r="K19" s="49"/>
      <c r="L19" s="49"/>
      <c r="M19" s="49"/>
      <c r="N19" s="49"/>
      <c r="O19" s="49"/>
      <c r="P19" s="252"/>
      <c r="Q19" s="49"/>
      <c r="R19" s="49"/>
      <c r="S19" s="49"/>
      <c r="T19" s="138" t="s">
        <v>408</v>
      </c>
      <c r="U19" s="138"/>
      <c r="V19" s="138"/>
      <c r="W19" s="138"/>
      <c r="X19" s="138"/>
      <c r="Y19" s="138"/>
      <c r="Z19" s="138"/>
      <c r="AA19" s="49"/>
      <c r="AB19" s="49"/>
      <c r="AC19" s="306"/>
    </row>
    <row r="20" spans="2:29" ht="16.2" customHeight="1">
      <c r="B20" s="46"/>
      <c r="C20" s="42"/>
      <c r="D20" s="222"/>
      <c r="E20" s="66"/>
      <c r="F20" s="138" t="s">
        <v>409</v>
      </c>
      <c r="G20" s="138"/>
      <c r="H20" s="138"/>
      <c r="I20" s="138"/>
      <c r="J20" s="138"/>
      <c r="K20" s="140" t="s">
        <v>240</v>
      </c>
      <c r="L20" s="140"/>
      <c r="M20" s="140"/>
      <c r="N20" s="66"/>
      <c r="O20" s="140" t="s">
        <v>241</v>
      </c>
      <c r="P20" s="252"/>
      <c r="Q20" s="49"/>
      <c r="R20" s="49"/>
      <c r="S20" s="49"/>
      <c r="T20" s="221"/>
      <c r="U20" s="221"/>
      <c r="V20" s="221"/>
      <c r="W20" s="221"/>
      <c r="X20" s="221"/>
      <c r="Y20" s="221"/>
      <c r="Z20" s="221"/>
      <c r="AA20" s="138"/>
      <c r="AB20" s="138"/>
      <c r="AC20" s="306"/>
    </row>
    <row r="21" spans="2:29" ht="13.5" customHeight="1">
      <c r="B21" s="46"/>
      <c r="C21" s="42"/>
      <c r="D21" s="222"/>
      <c r="E21" s="49"/>
      <c r="F21" s="49"/>
      <c r="G21" s="49"/>
      <c r="H21" s="49"/>
      <c r="I21" s="49"/>
      <c r="J21" s="49"/>
      <c r="K21" s="140" t="s">
        <v>410</v>
      </c>
      <c r="L21" s="140"/>
      <c r="M21" s="140" t="s">
        <v>411</v>
      </c>
      <c r="N21" s="49"/>
      <c r="O21" s="49"/>
      <c r="P21" s="252"/>
      <c r="Q21" s="49"/>
      <c r="R21" s="49"/>
      <c r="S21" s="49"/>
      <c r="T21" s="138" t="s">
        <v>308</v>
      </c>
      <c r="U21" s="138"/>
      <c r="V21" s="138"/>
      <c r="W21" s="138"/>
      <c r="X21" s="138"/>
      <c r="Y21" s="233" t="s">
        <v>309</v>
      </c>
      <c r="Z21" s="49"/>
      <c r="AA21" s="49"/>
      <c r="AB21" s="49"/>
      <c r="AC21" s="306"/>
    </row>
    <row r="22" spans="2:29" ht="54.6" customHeight="1">
      <c r="B22" s="46"/>
      <c r="C22" s="42"/>
      <c r="D22" s="222"/>
      <c r="E22" s="49"/>
      <c r="F22" s="142" t="s">
        <v>412</v>
      </c>
      <c r="G22" s="142"/>
      <c r="H22" s="142"/>
      <c r="I22" s="142"/>
      <c r="J22" s="142"/>
      <c r="K22" s="267" t="e">
        <f>'Stage 2'!K46/'Stage 2'!K41</f>
        <v>#DIV/0!</v>
      </c>
      <c r="L22" s="263"/>
      <c r="M22" s="267" t="e">
        <f>'Stage 2'!K48/'Stage 2'!K41</f>
        <v>#DIV/0!</v>
      </c>
      <c r="N22" s="233" t="s">
        <v>269</v>
      </c>
      <c r="O22" s="241" t="s">
        <v>413</v>
      </c>
      <c r="P22" s="252"/>
      <c r="Q22" s="49"/>
      <c r="R22" s="48"/>
      <c r="S22" s="48"/>
      <c r="T22" s="138" t="s">
        <v>310</v>
      </c>
      <c r="U22" s="138"/>
      <c r="V22" s="138"/>
      <c r="W22" s="138"/>
      <c r="X22" s="138"/>
      <c r="Y22" s="251" t="s">
        <v>311</v>
      </c>
      <c r="Z22" s="49"/>
      <c r="AA22" s="138"/>
      <c r="AB22" s="138"/>
      <c r="AC22" s="306"/>
    </row>
    <row r="23" spans="2:29" ht="16.2" customHeight="1">
      <c r="B23" s="46"/>
      <c r="C23" s="42"/>
      <c r="D23" s="222"/>
      <c r="E23" s="49"/>
      <c r="F23" s="142"/>
      <c r="G23" s="142"/>
      <c r="H23" s="142"/>
      <c r="I23" s="142"/>
      <c r="J23" s="142"/>
      <c r="K23" s="263"/>
      <c r="L23" s="263"/>
      <c r="M23" s="263"/>
      <c r="N23" s="234"/>
      <c r="O23" s="241"/>
      <c r="P23" s="252"/>
      <c r="Q23" s="49"/>
      <c r="R23" s="48"/>
      <c r="S23" s="48"/>
      <c r="T23" s="138" t="s">
        <v>312</v>
      </c>
      <c r="U23" s="138"/>
      <c r="V23" s="138"/>
      <c r="W23" s="138"/>
      <c r="X23" s="138"/>
      <c r="Y23" s="233" t="s">
        <v>313</v>
      </c>
      <c r="Z23" s="138"/>
      <c r="AA23" s="138"/>
      <c r="AB23" s="138"/>
      <c r="AC23" s="306"/>
    </row>
    <row r="24" spans="2:29" ht="16.2" customHeight="1">
      <c r="B24" s="46"/>
      <c r="C24" s="42"/>
      <c r="D24" s="222"/>
      <c r="E24" s="49"/>
      <c r="F24" s="142"/>
      <c r="G24" s="142"/>
      <c r="H24" s="142"/>
      <c r="I24" s="142"/>
      <c r="J24" s="142"/>
      <c r="K24" s="263"/>
      <c r="L24" s="263"/>
      <c r="M24" s="263"/>
      <c r="N24" s="234"/>
      <c r="O24" s="241"/>
      <c r="P24" s="252"/>
      <c r="Q24" s="49"/>
      <c r="R24" s="48"/>
      <c r="S24" s="48"/>
      <c r="T24" s="138" t="s">
        <v>315</v>
      </c>
      <c r="U24" s="138"/>
      <c r="V24" s="138"/>
      <c r="W24" s="138"/>
      <c r="X24" s="138"/>
      <c r="Y24" s="233" t="s">
        <v>267</v>
      </c>
      <c r="Z24" s="138"/>
      <c r="AA24" s="138"/>
      <c r="AB24" s="138"/>
      <c r="AC24" s="306"/>
    </row>
    <row r="25" spans="2:29" ht="20.1" customHeight="1">
      <c r="B25" s="46"/>
      <c r="C25" s="42"/>
      <c r="D25" s="222"/>
      <c r="E25" s="49"/>
      <c r="F25" s="38"/>
      <c r="G25" s="49"/>
      <c r="H25" s="49"/>
      <c r="I25" s="49"/>
      <c r="J25" s="49"/>
      <c r="K25" s="263"/>
      <c r="L25" s="263"/>
      <c r="M25" s="263"/>
      <c r="N25" s="140"/>
      <c r="O25" s="241"/>
      <c r="P25" s="252"/>
      <c r="Q25" s="49"/>
      <c r="R25" s="443"/>
      <c r="S25" s="443"/>
      <c r="T25" s="443"/>
      <c r="U25" s="443"/>
      <c r="V25" s="443"/>
      <c r="W25" s="443"/>
      <c r="X25" s="443"/>
      <c r="Y25" s="443"/>
      <c r="Z25" s="443"/>
      <c r="AA25" s="443"/>
      <c r="AB25" s="443"/>
      <c r="AC25" s="444"/>
    </row>
    <row r="26" spans="2:42" ht="24" customHeight="1">
      <c r="B26" s="46"/>
      <c r="C26" s="42"/>
      <c r="D26" s="222"/>
      <c r="E26" s="49"/>
      <c r="F26" s="142" t="s">
        <v>414</v>
      </c>
      <c r="G26" s="142"/>
      <c r="H26" s="142"/>
      <c r="I26" s="142"/>
      <c r="J26" s="142"/>
      <c r="K26" s="140" t="s">
        <v>410</v>
      </c>
      <c r="L26" s="140"/>
      <c r="M26" s="140" t="s">
        <v>411</v>
      </c>
      <c r="N26" s="49"/>
      <c r="O26" s="241"/>
      <c r="P26" s="252"/>
      <c r="Q26" s="49"/>
      <c r="R26" s="49"/>
      <c r="S26" s="49"/>
      <c r="T26" s="142" t="s">
        <v>415</v>
      </c>
      <c r="U26" s="142"/>
      <c r="V26" s="142"/>
      <c r="W26" s="142"/>
      <c r="X26" s="142"/>
      <c r="Y26" s="49"/>
      <c r="Z26" s="49"/>
      <c r="AA26" s="275" t="s">
        <v>321</v>
      </c>
      <c r="AB26" s="275" t="s">
        <v>322</v>
      </c>
      <c r="AC26" s="306"/>
      <c r="AP26" s="111"/>
    </row>
    <row r="27" spans="2:43" ht="16.2" customHeight="1">
      <c r="B27" s="46"/>
      <c r="C27" s="42"/>
      <c r="D27" s="222"/>
      <c r="E27" s="140" t="str">
        <f>'Stage 2'!F22</f>
        <v>High density residential</v>
      </c>
      <c r="F27" s="140"/>
      <c r="G27" s="140"/>
      <c r="H27" s="140"/>
      <c r="I27" s="140"/>
      <c r="J27" s="49"/>
      <c r="K27" s="308" t="str">
        <f>IF('Stage 2'!$K22&gt;0,'Stage 2'!O22/'Stage 2'!$K22,"")</f>
        <v/>
      </c>
      <c r="L27" s="263"/>
      <c r="M27" s="267" t="str">
        <f>IF('Stage 2'!$K22&gt;0,'Stage 2'!Q22/'Stage 2'!$K22,"")</f>
        <v/>
      </c>
      <c r="N27" s="233" t="s">
        <v>269</v>
      </c>
      <c r="O27" s="235" t="s">
        <v>413</v>
      </c>
      <c r="P27" s="252"/>
      <c r="Q27" s="49"/>
      <c r="R27" s="49"/>
      <c r="S27" s="49"/>
      <c r="T27" s="140" t="str">
        <f>E27</f>
        <v>High density residential</v>
      </c>
      <c r="U27" s="140"/>
      <c r="V27" s="140"/>
      <c r="W27" s="140"/>
      <c r="X27" s="140"/>
      <c r="Y27" s="233" t="s">
        <v>269</v>
      </c>
      <c r="Z27" s="49"/>
      <c r="AA27" s="277"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277"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06"/>
      <c r="AO27" s="111"/>
      <c r="AQ27" s="111"/>
    </row>
    <row r="28" spans="2:29" ht="16.2" customHeight="1">
      <c r="B28" s="46"/>
      <c r="C28" s="42"/>
      <c r="D28" s="222"/>
      <c r="E28" s="140" t="str">
        <f>'Stage 2'!F23</f>
        <v>Medium density residential</v>
      </c>
      <c r="F28" s="140"/>
      <c r="G28" s="140"/>
      <c r="H28" s="140"/>
      <c r="I28" s="140"/>
      <c r="J28" s="49"/>
      <c r="K28" s="308" t="str">
        <f>IF('Stage 2'!$K23&gt;0,'Stage 2'!O23/'Stage 2'!$K23,"")</f>
        <v/>
      </c>
      <c r="L28" s="263"/>
      <c r="M28" s="267" t="str">
        <f>IF('Stage 2'!$K23&gt;0,'Stage 2'!Q23/'Stage 2'!$K23,"")</f>
        <v/>
      </c>
      <c r="N28" s="233" t="s">
        <v>269</v>
      </c>
      <c r="O28" s="235" t="s">
        <v>413</v>
      </c>
      <c r="P28" s="252"/>
      <c r="Q28" s="49"/>
      <c r="R28" s="49"/>
      <c r="S28" s="49"/>
      <c r="T28" s="140" t="str">
        <f>E28</f>
        <v>Medium density residential</v>
      </c>
      <c r="U28" s="140"/>
      <c r="V28" s="140"/>
      <c r="W28" s="140"/>
      <c r="X28" s="140"/>
      <c r="Y28" s="233" t="s">
        <v>269</v>
      </c>
      <c r="Z28" s="49"/>
      <c r="AA28" s="277"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277"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06"/>
    </row>
    <row r="29" spans="2:29" ht="16.2" customHeight="1">
      <c r="B29" s="46"/>
      <c r="C29" s="42"/>
      <c r="D29" s="222"/>
      <c r="E29" s="140" t="str">
        <f>'Stage 2'!F24</f>
        <v>Low density residential</v>
      </c>
      <c r="F29" s="140"/>
      <c r="G29" s="140"/>
      <c r="H29" s="140"/>
      <c r="I29" s="140"/>
      <c r="J29" s="49"/>
      <c r="K29" s="308" t="str">
        <f>IF('Stage 2'!$K24&gt;0,'Stage 2'!O24/'Stage 2'!$K24,"")</f>
        <v/>
      </c>
      <c r="L29" s="263"/>
      <c r="M29" s="267" t="str">
        <f>IF('Stage 2'!$K24&gt;0,'Stage 2'!Q24/'Stage 2'!$K24,"")</f>
        <v/>
      </c>
      <c r="N29" s="233" t="s">
        <v>269</v>
      </c>
      <c r="O29" s="235" t="s">
        <v>413</v>
      </c>
      <c r="P29" s="252"/>
      <c r="Q29" s="49"/>
      <c r="R29" s="49"/>
      <c r="S29" s="49"/>
      <c r="T29" s="140" t="str">
        <f>E29</f>
        <v>Low density residential</v>
      </c>
      <c r="U29" s="140"/>
      <c r="V29" s="140"/>
      <c r="W29" s="140"/>
      <c r="X29" s="140"/>
      <c r="Y29" s="233" t="s">
        <v>269</v>
      </c>
      <c r="Z29" s="49"/>
      <c r="AA29" s="277"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277"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06"/>
    </row>
    <row r="30" spans="2:29" ht="16.2" customHeight="1">
      <c r="B30" s="46"/>
      <c r="C30" s="42"/>
      <c r="D30" s="222"/>
      <c r="E30" s="140" t="str">
        <f>'Stage 2'!F25</f>
        <v>Commercial / Industrial</v>
      </c>
      <c r="F30" s="140"/>
      <c r="G30" s="140"/>
      <c r="H30" s="140"/>
      <c r="I30" s="140"/>
      <c r="J30" s="49"/>
      <c r="K30" s="308" t="str">
        <f>IF('Stage 2'!$K25&gt;0,'Stage 2'!O25/'Stage 2'!$K25,"")</f>
        <v/>
      </c>
      <c r="L30" s="263"/>
      <c r="M30" s="267" t="str">
        <f>IF('Stage 2'!$K25&gt;0,'Stage 2'!Q25/'Stage 2'!$K25,"")</f>
        <v/>
      </c>
      <c r="N30" s="233" t="s">
        <v>269</v>
      </c>
      <c r="O30" s="235" t="s">
        <v>413</v>
      </c>
      <c r="P30" s="252"/>
      <c r="Q30" s="49"/>
      <c r="R30" s="49"/>
      <c r="S30" s="49"/>
      <c r="T30" s="140" t="str">
        <f>E30</f>
        <v>Commercial / Industrial</v>
      </c>
      <c r="U30" s="140"/>
      <c r="V30" s="140"/>
      <c r="W30" s="140"/>
      <c r="X30" s="140"/>
      <c r="Y30" s="233" t="s">
        <v>269</v>
      </c>
      <c r="Z30" s="49"/>
      <c r="AA30" s="277"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277"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06"/>
    </row>
    <row r="31" spans="2:29" ht="16.2" customHeight="1">
      <c r="B31" s="46"/>
      <c r="C31" s="42"/>
      <c r="D31" s="222"/>
      <c r="E31" s="140" t="str">
        <f>'Stage 2'!F26</f>
        <v>Urban open space</v>
      </c>
      <c r="F31" s="140"/>
      <c r="G31" s="140"/>
      <c r="H31" s="140"/>
      <c r="I31" s="140"/>
      <c r="J31" s="49"/>
      <c r="K31" s="308" t="str">
        <f>IF('Stage 2'!$K26&gt;0,'Stage 2'!O26/'Stage 2'!$K26,"")</f>
        <v/>
      </c>
      <c r="L31" s="263"/>
      <c r="M31" s="267" t="str">
        <f>IF('Stage 2'!$K26&gt;0,'Stage 2'!Q26/'Stage 2'!$K26,"")</f>
        <v/>
      </c>
      <c r="N31" s="233" t="s">
        <v>269</v>
      </c>
      <c r="O31" s="235" t="s">
        <v>413</v>
      </c>
      <c r="P31" s="252"/>
      <c r="Q31" s="49"/>
      <c r="R31" s="49"/>
      <c r="S31" s="49"/>
      <c r="T31" s="140" t="str">
        <f>E31</f>
        <v>Urban open space</v>
      </c>
      <c r="U31" s="140"/>
      <c r="V31" s="140"/>
      <c r="W31" s="140"/>
      <c r="X31" s="140"/>
      <c r="Y31" s="233" t="s">
        <v>269</v>
      </c>
      <c r="Z31" s="49"/>
      <c r="AA31" s="277"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277"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06"/>
    </row>
    <row r="32" spans="2:53" ht="16.2" customHeight="1">
      <c r="B32" s="46"/>
      <c r="C32" s="42"/>
      <c r="D32" s="222"/>
      <c r="E32" s="140" t="str">
        <f>'Stage 2'!F27</f>
        <v>Dairy</v>
      </c>
      <c r="F32" s="140"/>
      <c r="G32" s="140"/>
      <c r="H32" s="140"/>
      <c r="I32" s="140"/>
      <c r="J32" s="49"/>
      <c r="K32" s="308" t="str">
        <f>IF('Stage 2'!$K27&gt;0,'Stage 2'!O27/'Stage 2'!$K27,"")</f>
        <v/>
      </c>
      <c r="L32" s="275"/>
      <c r="M32" s="267" t="str">
        <f>IF('Stage 2'!$K27&gt;0,'Stage 2'!Q27/'Stage 2'!$K27,"")</f>
        <v/>
      </c>
      <c r="N32" s="233" t="s">
        <v>269</v>
      </c>
      <c r="O32" s="235" t="s">
        <v>413</v>
      </c>
      <c r="P32" s="252"/>
      <c r="Q32" s="49"/>
      <c r="R32" s="49"/>
      <c r="S32" s="49"/>
      <c r="T32" s="140" t="str">
        <f>E32</f>
        <v>Dairy</v>
      </c>
      <c r="U32" s="140"/>
      <c r="V32" s="140"/>
      <c r="W32" s="140"/>
      <c r="X32" s="140"/>
      <c r="Y32" s="233" t="s">
        <v>267</v>
      </c>
      <c r="Z32" s="49"/>
      <c r="AA32" s="279"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279" t="str">
        <f>IF($Y$16="Yes",IF($Y32="Yes",IF($Y$21="Wensum",(IF($Y$22="Freely draining",IF($Y$23="550-575",IF($Y$24="Yes",'Data Tables'!AS5,'Data Tables'!AT5),IF($Y$23="575-600",IF($Y$24="Yes",'Data Tables'!AS5,'Data Tables'!AT5),IF($Y$23="600-625",IF($Y$24="Yes",'Data Tables'!AS5,'Data Tables'!AT5),IF($Y$23="625-650",IF($Y$24="Yes",'Data Tables'!AS5,'Data Tables'!AT5),IF($Y$23="650-675",IF($Y$24="Yes",'Data Tables'!AS5,'Data Tables'!AT5),IF($Y$23="675-700",IF($Y$24="Yes",'Data Tables'!AS5,'Data Tables'!AT5),IF($Y$23="700-750",IF($Y$24="Yes",'Data Tables'!AY5,'Data Tables'!AZ5),IF($Y$23="750-800",IF($Y$24="Yes",'Data Tables'!AY5,'Data Tables'!AZ5),IF($Y$23="800-850",IF($Y$24="Yes",'Data Tables'!AY5,'Data Tables'!AZ5),IF($Y$24="Yes",'Data Tables'!AY5,'Data Tables'!AZ5)))))))))),IF($Y$22="Impermeable - drained for arable",IF($Y$23="550-575",IF($Y$24="Yes",'Data Tables'!AU5,'Data Tables'!AV5),IF($Y$23="575-600",IF($Y$24="Yes",'Data Tables'!AU5,'Data Tables'!AV5),IF($Y$23="600-625",IF($Y$24="Yes",'Data Tables'!AU5,'Data Tables'!AV5),IF($Y$23="625-650",IF($Y$24="Yes",'Data Tables'!AU5,'Data Tables'!AV5),IF($Y$23="650-675",IF($Y$24="Yes",'Data Tables'!AU5,'Data Tables'!AV5),IF($Y$23="675-700",IF($Y$24="Yes",'Data Tables'!AU5,'Data Tables'!AV5),IF($Y$23="700-750",IF($Y$24="Yes",'Data Tables'!BA5,'Data Tables'!BB5),IF($Y$23="750-800",IF($Y$24="Yes",'Data Tables'!BA5,'Data Tables'!BB5),IF($Y$23="800-850",IF($Y$24="Yes",'Data Tables'!BA5,'Data Tables'!BB5),IF($Y$24="Yes",'Data Tables'!BA5,'Data Tables'!BB5)))))))))),IF($Y$23="550-575",IF($Y$24="Yes",'Data Tables'!AW5,'Data Tables'!AX5),IF($Y$23="575-600",IF($Y$24="Yes",'Data Tables'!AW5,'Data Tables'!AX5),IF($Y$23="600-625",IF($Y$24="Yes",'Data Tables'!AW5,'Data Tables'!AX5),IF($Y$23="625-650",IF($Y$24="Yes",'Data Tables'!AW5,'Data Tables'!AX5),IF($Y$23="650-675",IF($Y$24="Yes",'Data Tables'!AW5,'Data Tables'!AX5),IF($Y$23="675-700",IF($Y$24="Yes",'Data Tables'!AW5,'Data Tables'!AX5),IF($Y$23="700-750",IF($Y$24="Yes",'Data Tables'!BC5,'Data Tables'!BD5),IF($Y$23="750-800",IF($Y$24="Yes",'Data Tables'!BC5,'Data Tables'!BD5),IF($Y$23="800-850",IF($Y$24="Yes",'Data Tables'!BC5,'Data Tables'!BD5),IF($Y$24="Yes",'Data Tables'!BC5,'Data Tables'!BD5))))))))))))),IF($Y$21="Yare",(IF($Y$22="Freely draining",IF($Y$23="550-575",IF($Y$24="Yes",'Data Tables'!AS16,'Data Tables'!AT16),IF($Y$23="575-600",IF($Y$24="Yes",'Data Tables'!AS16,'Data Tables'!AT16),IF($Y$23="600-625",IF($Y$24="Yes",'Data Tables'!AS16,'Data Tables'!AT16),IF($Y$23="625-650",IF($Y$24="Yes",'Data Tables'!AS16,'Data Tables'!AT16),IF($Y$23="650-675",IF($Y$24="Yes",'Data Tables'!AS16,'Data Tables'!AT16),IF($Y$23="675-700",IF($Y$24="Yes",'Data Tables'!AS16,'Data Tables'!AT16),IF($Y$23="700-750",IF($Y$24="Yes",'Data Tables'!AY16,'Data Tables'!AZ16),IF($Y$23="750-800",IF($Y$24="Yes",'Data Tables'!AY16,'Data Tables'!AZ16),IF($Y$23="800-850",IF($Y$24="Yes",'Data Tables'!AY16,'Data Tables'!AZ16),IF($Y$24="Yes",'Data Tables'!AY16,'Data Tables'!AZ16)))))))))),IF($Y$22="Impermeable - drained for arable",IF($Y$23="550-575",IF($Y$24="Yes",'Data Tables'!AU16,'Data Tables'!AV16),IF($Y$23="575-600",IF($Y$24="Yes",'Data Tables'!AU16,'Data Tables'!AV16),IF($Y$23="600-625",IF($Y$24="Yes",'Data Tables'!AU16,'Data Tables'!AV16),IF($Y$23="625-650",IF($Y$24="Yes",'Data Tables'!AU16,'Data Tables'!AV16),IF($Y$23="650-675",IF($Y$24="Yes",'Data Tables'!AU16,'Data Tables'!AV16),IF($Y$23="675-700",IF($Y$24="Yes",'Data Tables'!AU16,'Data Tables'!AV16),IF($Y$23="700-750",IF($Y$24="Yes",'Data Tables'!BA16,'Data Tables'!BB16),IF($Y$23="750-800",IF($Y$24="Yes",'Data Tables'!BA16,'Data Tables'!BB16),IF($Y$23="800-850",IF($Y$24="Yes",'Data Tables'!BA16,'Data Tables'!BB16),IF($Y$24="Yes",'Data Tables'!BA16,'Data Tables'!BB16)))))))))),IF($Y$23="550-575",IF($Y$24="Yes",'Data Tables'!AW16,'Data Tables'!AX16),IF($Y$23="575-600",IF($Y$24="Yes",'Data Tables'!AW16,'Data Tables'!AX16),IF($Y$23="600-625",IF($Y$24="Yes",'Data Tables'!AW16,'Data Tables'!AX16),IF($Y$23="625-650",IF($Y$24="Yes",'Data Tables'!AW16,'Data Tables'!AX16),IF($Y$23="650-675",IF($Y$24="Yes",'Data Tables'!AW16,'Data Tables'!AX16),IF($Y$23="675-700",IF($Y$24="Yes",'Data Tables'!AW16,'Data Tables'!AX16),IF($Y$23="700-750",IF($Y$24="Yes",'Data Tables'!BC16,'Data Tables'!BD16),IF($Y$23="750-800",IF($Y$24="Yes",'Data Tables'!BC16,'Data Tables'!BD16),IF($Y$23="800-850",IF($Y$24="Yes",'Data Tables'!BC16,'Data Tables'!BD16),IF($Y$24="Yes",'Data Tables'!BC16,'Data Tables'!BD16))))))))))))),(IF($Y$22="Freely draining",IF($Y$23="550-575",IF($Y$24="Yes",'Data Tables'!AM27,'Data Tables'!AN27),IF($Y$23="575-600",IF($Y$24="Yes",'Data Tables'!AM27,'Data Tables'!AN27),IF($Y$23="600-625",IF($Y$24="Yes",'Data Tables'!AS27,'Data Tables'!AT27),IF($Y$23="625-650",IF($Y$24="Yes",'Data Tables'!AS27,'Data Tables'!AT27),IF($Y$23="650-675",IF($Y$24="Yes",'Data Tables'!AS27,'Data Tables'!AT27),IF($Y$23="675-700",IF($Y$24="Yes",'Data Tables'!AS27,'Data Tables'!AT27),IF($Y$23="700-750",IF($Y$24="Yes",'Data Tables'!AY27,'Data Tables'!AZ27),IF($Y$23="750-800",IF($Y$24="Yes",'Data Tables'!AY27,'Data Tables'!AZ27),IF($Y$23="800-850",IF($Y$24="Yes",'Data Tables'!AY27,'Data Tables'!AZ27),IF($Y$24="Yes",'Data Tables'!AY27,'Data Tables'!AZ27)))))))))),IF($Y$22="Impermeable - drained for arable",IF($Y$23="550-575",IF($Y$24="Yes",'Data Tables'!AO27,'Data Tables'!AP27),IF($Y$23="575-600",IF($Y$24="Yes",'Data Tables'!AO27,'Data Tables'!AP27),IF($Y$23="600-625",IF($Y$24="Yes",'Data Tables'!AU27,'Data Tables'!AV27),IF($Y$23="625-650",IF($Y$24="Yes",'Data Tables'!AU27,'Data Tables'!AV27),IF($Y$23="650-675",IF($Y$24="Yes",'Data Tables'!AU27,'Data Tables'!AV27),IF($Y$23="675-700",IF($Y$24="Yes",'Data Tables'!AU27,'Data Tables'!AV27),IF($Y$23="700-750",IF($Y$24="Yes",'Data Tables'!BA27,'Data Tables'!BB27),IF($Y$23="750-800",IF($Y$24="Yes",'Data Tables'!BA27,'Data Tables'!BB27),IF($Y$23="800-850",IF($Y$24="Yes",'Data Tables'!BA27,'Data Tables'!BB27),IF($Y$24="Yes",'Data Tables'!BA27,'Data Tables'!BB27)))))))))),IF($Y$23="550-575",IF($Y$24="Yes",'Data Tables'!AQ27,'Data Tables'!AR27),IF($Y$23="575-600",IF($Y$24="Yes",'Data Tables'!AQ27,'Data Tables'!AR27),IF($Y$23="600-625",IF($Y$24="Yes",'Data Tables'!AW27,'Data Tables'!AX27),IF($Y$23="625-650",IF($Y$24="Yes",'Data Tables'!AW27,'Data Tables'!AX27),IF($Y$23="650-675",IF($Y$24="Yes",'Data Tables'!AW27,'Data Tables'!AX27),IF($Y$23="675-700",IF($Y$24="Yes",'Data Tables'!AW27,'Data Tables'!AX27),IF($Y$23="700-750",IF($Y$24="Yes",'Data Tables'!BC27,'Data Tables'!BD27),IF($Y$23="750-800",IF($Y$24="Yes",'Data Tables'!BC27,'Data Tables'!BD27),IF($Y$23="800-850",IF($Y$24="Yes",'Data Tables'!BC27,'Data Tables'!BD27),IF($Y$24="Yes",'Data Tables'!BC27,'Data Tables'!BD27))))))))))))))),0),"")</f>
        <v/>
      </c>
      <c r="AC32" s="306"/>
      <c r="AF32" s="92"/>
      <c r="AG32" s="92"/>
      <c r="AH32" s="92"/>
      <c r="AI32" s="92"/>
      <c r="AJ32" s="92"/>
      <c r="AK32" s="92"/>
      <c r="AL32" s="92"/>
      <c r="AM32" s="92"/>
      <c r="AN32" s="92"/>
      <c r="AO32" s="92"/>
      <c r="AP32" s="92"/>
      <c r="AQ32" s="92"/>
      <c r="AR32" s="92"/>
      <c r="AT32" s="92"/>
      <c r="AU32" s="92"/>
      <c r="AV32" s="92"/>
      <c r="AW32" s="92"/>
      <c r="AX32" s="92"/>
      <c r="AY32" s="92"/>
      <c r="AZ32" s="92"/>
      <c r="BA32" s="92"/>
    </row>
    <row r="33" spans="2:53" ht="16.2" customHeight="1">
      <c r="B33" s="46"/>
      <c r="C33" s="42"/>
      <c r="D33" s="222"/>
      <c r="E33" s="140" t="str">
        <f>'Stage 2'!F28</f>
        <v>Lowland grazing</v>
      </c>
      <c r="F33" s="140"/>
      <c r="G33" s="140"/>
      <c r="H33" s="140"/>
      <c r="I33" s="140"/>
      <c r="J33" s="49"/>
      <c r="K33" s="308" t="str">
        <f>IF('Stage 2'!$K28&gt;0,'Stage 2'!O28/'Stage 2'!$K28,"")</f>
        <v/>
      </c>
      <c r="L33" s="225"/>
      <c r="M33" s="267" t="str">
        <f>IF('Stage 2'!$K28&gt;0,'Stage 2'!Q28/'Stage 2'!$K28,"")</f>
        <v/>
      </c>
      <c r="N33" s="233" t="s">
        <v>269</v>
      </c>
      <c r="O33" s="235" t="s">
        <v>413</v>
      </c>
      <c r="P33" s="252"/>
      <c r="Q33" s="49"/>
      <c r="R33" s="49"/>
      <c r="S33" s="49"/>
      <c r="T33" s="140" t="str">
        <f>E33</f>
        <v>Lowland grazing</v>
      </c>
      <c r="U33" s="140"/>
      <c r="V33" s="140"/>
      <c r="W33" s="140"/>
      <c r="X33" s="140"/>
      <c r="Y33" s="233" t="s">
        <v>269</v>
      </c>
      <c r="Z33" s="49"/>
      <c r="AA33" s="279"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279" t="str">
        <f>IF($Y$16="Yes",IF($Y33="Yes",IF($Y$21="Wensum",(IF($Y$22="Freely draining",IF($Y$23="550-575",IF($Y$24="Yes",'Data Tables'!AS6,'Data Tables'!AT6),IF($Y$23="575-600",IF($Y$24="Yes",'Data Tables'!AS6,'Data Tables'!AT6),IF($Y$23="600-625",IF($Y$24="Yes",'Data Tables'!AS6,'Data Tables'!AT6),IF($Y$23="625-650",IF($Y$24="Yes",'Data Tables'!AS6,'Data Tables'!AT6),IF($Y$23="650-675",IF($Y$24="Yes",'Data Tables'!AS6,'Data Tables'!AT6),IF($Y$23="675-700",IF($Y$24="Yes",'Data Tables'!AS6,'Data Tables'!AT6),IF($Y$23="700-750",IF($Y$24="Yes",'Data Tables'!AY6,'Data Tables'!AZ6),IF($Y$23="750-800",IF($Y$24="Yes",'Data Tables'!AY6,'Data Tables'!AZ6),IF($Y$23="800-850",IF($Y$24="Yes",'Data Tables'!AY6,'Data Tables'!AZ6),IF($Y$24="Yes",'Data Tables'!AY6,'Data Tables'!AZ6)))))))))),IF($Y$22="Impermeable - drained for arable",IF($Y$23="550-575",IF($Y$24="Yes",'Data Tables'!AU6,'Data Tables'!AV6),IF($Y$23="575-600",IF($Y$24="Yes",'Data Tables'!AU6,'Data Tables'!AV6),IF($Y$23="600-625",IF($Y$24="Yes",'Data Tables'!AU6,'Data Tables'!AV6),IF($Y$23="625-650",IF($Y$24="Yes",'Data Tables'!AU6,'Data Tables'!AV6),IF($Y$23="650-675",IF($Y$24="Yes",'Data Tables'!AU6,'Data Tables'!AV6),IF($Y$23="675-700",IF($Y$24="Yes",'Data Tables'!AU6,'Data Tables'!AV6),IF($Y$23="700-750",IF($Y$24="Yes",'Data Tables'!BA6,'Data Tables'!BB6),IF($Y$23="750-800",IF($Y$24="Yes",'Data Tables'!BA6,'Data Tables'!BB6),IF($Y$23="800-850",IF($Y$24="Yes",'Data Tables'!BA6,'Data Tables'!BB6),IF($Y$24="Yes",'Data Tables'!BA6,'Data Tables'!BB6)))))))))),IF($Y$23="550-575",IF($Y$24="Yes",'Data Tables'!AW6,'Data Tables'!AX6),IF($Y$23="575-600",IF($Y$24="Yes",'Data Tables'!AW6,'Data Tables'!AX6),IF($Y$23="600-625",IF($Y$24="Yes",'Data Tables'!AW6,'Data Tables'!AX6),IF($Y$23="625-650",IF($Y$24="Yes",'Data Tables'!AW6,'Data Tables'!AX6),IF($Y$23="650-675",IF($Y$24="Yes",'Data Tables'!AW6,'Data Tables'!AX6),IF($Y$23="675-700",IF($Y$24="Yes",'Data Tables'!AW6,'Data Tables'!AX6),IF($Y$23="700-750",IF($Y$24="Yes",'Data Tables'!BC6,'Data Tables'!BD6),IF($Y$23="750-800",IF($Y$24="Yes",'Data Tables'!BC6,'Data Tables'!BD6),IF($Y$23="800-850",IF($Y$24="Yes",'Data Tables'!BC6,'Data Tables'!BD6),IF($Y$24="Yes",'Data Tables'!BC6,'Data Tables'!BD6))))))))))))),IF($Y$21="Yare",(IF($Y$22="Freely draining",IF($Y$23="550-575",IF($Y$24="Yes",'Data Tables'!AS17,'Data Tables'!AT17),IF($Y$23="575-600",IF($Y$24="Yes",'Data Tables'!AS17,'Data Tables'!AT17),IF($Y$23="600-625",IF($Y$24="Yes",'Data Tables'!AS17,'Data Tables'!AT17),IF($Y$23="625-650",IF($Y$24="Yes",'Data Tables'!AS17,'Data Tables'!AT17),IF($Y$23="650-675",IF($Y$24="Yes",'Data Tables'!AS17,'Data Tables'!AT17),IF($Y$23="675-700",IF($Y$24="Yes",'Data Tables'!AS17,'Data Tables'!AT17),IF($Y$23="700-750",IF($Y$24="Yes",'Data Tables'!AY17,'Data Tables'!AZ17),IF($Y$23="750-800",IF($Y$24="Yes",'Data Tables'!AY17,'Data Tables'!AZ17),IF($Y$23="800-850",IF($Y$24="Yes",'Data Tables'!AY17,'Data Tables'!AZ17),IF($Y$24="Yes",'Data Tables'!AY17,'Data Tables'!AZ17)))))))))),IF($Y$22="Impermeable - drained for arable",IF($Y$23="550-575",IF($Y$24="Yes",'Data Tables'!AU17,'Data Tables'!AV17),IF($Y$23="575-600",IF($Y$24="Yes",'Data Tables'!AU17,'Data Tables'!AV17),IF($Y$23="600-625",IF($Y$24="Yes",'Data Tables'!AU17,'Data Tables'!AV17),IF($Y$23="625-650",IF($Y$24="Yes",'Data Tables'!AU17,'Data Tables'!AV17),IF($Y$23="650-675",IF($Y$24="Yes",'Data Tables'!AU17,'Data Tables'!AV17),IF($Y$23="675-700",IF($Y$24="Yes",'Data Tables'!AU17,'Data Tables'!AV17),IF($Y$23="700-750",IF($Y$24="Yes",'Data Tables'!BA17,'Data Tables'!BB17),IF($Y$23="750-800",IF($Y$24="Yes",'Data Tables'!BA17,'Data Tables'!BB17),IF($Y$23="800-850",IF($Y$24="Yes",'Data Tables'!BA17,'Data Tables'!BB17),IF($Y$24="Yes",'Data Tables'!BA17,'Data Tables'!BB17)))))))))),IF($Y$23="550-575",IF($Y$24="Yes",'Data Tables'!AW17,'Data Tables'!AX17),IF($Y$23="575-600",IF($Y$24="Yes",'Data Tables'!AW17,'Data Tables'!AX17),IF($Y$23="600-625",IF($Y$24="Yes",'Data Tables'!AW17,'Data Tables'!AX17),IF($Y$23="625-650",IF($Y$24="Yes",'Data Tables'!AW17,'Data Tables'!AX17),IF($Y$23="650-675",IF($Y$24="Yes",'Data Tables'!AW17,'Data Tables'!AX17),IF($Y$23="675-700",IF($Y$24="Yes",'Data Tables'!AW17,'Data Tables'!AX17),IF($Y$23="700-750",IF($Y$24="Yes",'Data Tables'!BC17,'Data Tables'!BD17),IF($Y$23="750-800",IF($Y$24="Yes",'Data Tables'!BC17,'Data Tables'!BD17),IF($Y$23="800-850",IF($Y$24="Yes",'Data Tables'!BC17,'Data Tables'!BD17),IF($Y$24="Yes",'Data Tables'!BC17,'Data Tables'!BD17))))))))))))),(IF($Y$22="Freely draining",IF($Y$23="550-575",IF($Y$24="Yes",'Data Tables'!AM28,'Data Tables'!AN28),IF($Y$23="575-600",IF($Y$24="Yes",'Data Tables'!AM28,'Data Tables'!AN28),IF($Y$23="600-625",IF($Y$24="Yes",'Data Tables'!AS28,'Data Tables'!AT28),IF($Y$23="625-650",IF($Y$24="Yes",'Data Tables'!AS28,'Data Tables'!AT28),IF($Y$23="650-675",IF($Y$24="Yes",'Data Tables'!AS28,'Data Tables'!AT28),IF($Y$23="675-700",IF($Y$24="Yes",'Data Tables'!AS28,'Data Tables'!AT28),IF($Y$23="700-750",IF($Y$24="Yes",'Data Tables'!AY28,'Data Tables'!AZ28),IF($Y$23="750-800",IF($Y$24="Yes",'Data Tables'!AY28,'Data Tables'!AZ28),IF($Y$23="800-850",IF($Y$24="Yes",'Data Tables'!AY28,'Data Tables'!AZ28),IF($Y$24="Yes",'Data Tables'!AY28,'Data Tables'!AZ28)))))))))),IF($Y$22="Impermeable - drained for arable",IF($Y$23="550-575",IF($Y$24="Yes",'Data Tables'!AO28,'Data Tables'!AP28),IF($Y$23="575-600",IF($Y$24="Yes",'Data Tables'!AO28,'Data Tables'!AP28),IF($Y$23="600-625",IF($Y$24="Yes",'Data Tables'!AU28,'Data Tables'!AV28),IF($Y$23="625-650",IF($Y$24="Yes",'Data Tables'!AU28,'Data Tables'!AV28),IF($Y$23="650-675",IF($Y$24="Yes",'Data Tables'!AU28,'Data Tables'!AV28),IF($Y$23="675-700",IF($Y$24="Yes",'Data Tables'!AU28,'Data Tables'!AV28),IF($Y$23="700-750",IF($Y$24="Yes",'Data Tables'!BA28,'Data Tables'!BB28),IF($Y$23="750-800",IF($Y$24="Yes",'Data Tables'!BA28,'Data Tables'!BB28),IF($Y$23="800-850",IF($Y$24="Yes",'Data Tables'!BA28,'Data Tables'!BB28),IF($Y$24="Yes",'Data Tables'!BA28,'Data Tables'!BB28)))))))))),IF($Y$23="550-575",IF($Y$24="Yes",'Data Tables'!AQ28,'Data Tables'!AR28),IF($Y$23="575-600",IF($Y$24="Yes",'Data Tables'!AQ28,'Data Tables'!AR28),IF($Y$23="600-625",IF($Y$24="Yes",'Data Tables'!AW28,'Data Tables'!AX28),IF($Y$23="625-650",IF($Y$24="Yes",'Data Tables'!AW28,'Data Tables'!AX28),IF($Y$23="650-675",IF($Y$24="Yes",'Data Tables'!AW28,'Data Tables'!AX28),IF($Y$23="675-700",IF($Y$24="Yes",'Data Tables'!AW28,'Data Tables'!AX28),IF($Y$23="700-750",IF($Y$24="Yes",'Data Tables'!BC28,'Data Tables'!BD28),IF($Y$23="750-800",IF($Y$24="Yes",'Data Tables'!BC28,'Data Tables'!BD28),IF($Y$23="800-850",IF($Y$24="Yes",'Data Tables'!BC28,'Data Tables'!BD28),IF($Y$24="Yes",'Data Tables'!BC28,'Data Tables'!BD28))))))))))))))),0),"")</f>
        <v/>
      </c>
      <c r="AC33" s="306"/>
      <c r="AF33" s="92"/>
      <c r="AG33" s="92"/>
      <c r="AH33" s="92"/>
      <c r="AI33" s="92"/>
      <c r="AJ33" s="92"/>
      <c r="AK33" s="92"/>
      <c r="AL33" s="92"/>
      <c r="AM33" s="92"/>
      <c r="AN33" s="92"/>
      <c r="AO33" s="92"/>
      <c r="AP33" s="92"/>
      <c r="AQ33" s="92"/>
      <c r="AR33" s="92"/>
      <c r="AT33" s="92"/>
      <c r="AU33" s="92"/>
      <c r="AV33" s="92"/>
      <c r="AW33" s="92"/>
      <c r="AX33" s="92"/>
      <c r="AY33" s="92"/>
      <c r="AZ33" s="92"/>
      <c r="BA33" s="92"/>
    </row>
    <row r="34" spans="2:53" ht="16.2" customHeight="1">
      <c r="B34" s="46"/>
      <c r="C34" s="42"/>
      <c r="D34" s="222"/>
      <c r="E34" s="140" t="str">
        <f>'Stage 2'!F29</f>
        <v>Mixed</v>
      </c>
      <c r="F34" s="140"/>
      <c r="G34" s="140"/>
      <c r="H34" s="140"/>
      <c r="I34" s="140"/>
      <c r="J34" s="49"/>
      <c r="K34" s="308" t="str">
        <f>IF('Stage 2'!$K29&gt;0,'Stage 2'!O29/'Stage 2'!$K29,"")</f>
        <v/>
      </c>
      <c r="L34" s="225"/>
      <c r="M34" s="267" t="str">
        <f>IF('Stage 2'!$K29&gt;0,'Stage 2'!Q29/'Stage 2'!$K29,"")</f>
        <v/>
      </c>
      <c r="N34" s="233" t="s">
        <v>269</v>
      </c>
      <c r="O34" s="235" t="s">
        <v>413</v>
      </c>
      <c r="P34" s="252"/>
      <c r="Q34" s="49"/>
      <c r="R34" s="49"/>
      <c r="S34" s="49"/>
      <c r="T34" s="140" t="str">
        <f>E34</f>
        <v>Mixed</v>
      </c>
      <c r="U34" s="140"/>
      <c r="V34" s="140"/>
      <c r="W34" s="140"/>
      <c r="X34" s="140"/>
      <c r="Y34" s="233" t="s">
        <v>269</v>
      </c>
      <c r="Z34" s="49"/>
      <c r="AA34" s="279"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279" t="str">
        <f>IF($Y$16="Yes",IF($Y34="Yes",IF($Y$21="Wensum",(IF($Y$22="Freely draining",IF($Y$23="550-575",IF($Y$24="Yes",'Data Tables'!AS7,'Data Tables'!AT7),IF($Y$23="575-600",IF($Y$24="Yes",'Data Tables'!AS7,'Data Tables'!AT7),IF($Y$23="600-625",IF($Y$24="Yes",'Data Tables'!AS7,'Data Tables'!AT7),IF($Y$23="625-650",IF($Y$24="Yes",'Data Tables'!AS7,'Data Tables'!AT7),IF($Y$23="650-675",IF($Y$24="Yes",'Data Tables'!AS7,'Data Tables'!AT7),IF($Y$23="675-700",IF($Y$24="Yes",'Data Tables'!AS7,'Data Tables'!AT7),IF($Y$23="700-750",IF($Y$24="Yes",'Data Tables'!AY7,'Data Tables'!AZ7),IF($Y$23="750-800",IF($Y$24="Yes",'Data Tables'!AY7,'Data Tables'!AZ7),IF($Y$23="800-850",IF($Y$24="Yes",'Data Tables'!AY7,'Data Tables'!AZ7),IF($Y$24="Yes",'Data Tables'!AY7,'Data Tables'!AZ7)))))))))),IF($Y$22="Impermeable - drained for arable",IF($Y$23="550-575",IF($Y$24="Yes",'Data Tables'!AU7,'Data Tables'!AV7),IF($Y$23="575-600",IF($Y$24="Yes",'Data Tables'!AU7,'Data Tables'!AV7),IF($Y$23="600-625",IF($Y$24="Yes",'Data Tables'!AU7,'Data Tables'!AV7),IF($Y$23="625-650",IF($Y$24="Yes",'Data Tables'!AU7,'Data Tables'!AV7),IF($Y$23="650-675",IF($Y$24="Yes",'Data Tables'!AU7,'Data Tables'!AV7),IF($Y$23="675-700",IF($Y$24="Yes",'Data Tables'!AU7,'Data Tables'!AV7),IF($Y$23="700-750",IF($Y$24="Yes",'Data Tables'!BA7,'Data Tables'!BB7),IF($Y$23="750-800",IF($Y$24="Yes",'Data Tables'!BA7,'Data Tables'!BB7),IF($Y$23="800-850",IF($Y$24="Yes",'Data Tables'!BA7,'Data Tables'!BB7),IF($Y$24="Yes",'Data Tables'!BA7,'Data Tables'!BB7)))))))))),IF($Y$23="550-575",IF($Y$24="Yes",'Data Tables'!AW7,'Data Tables'!AX7),IF($Y$23="575-600",IF($Y$24="Yes",'Data Tables'!AW7,'Data Tables'!AX7),IF($Y$23="600-625",IF($Y$24="Yes",'Data Tables'!AW7,'Data Tables'!AX7),IF($Y$23="625-650",IF($Y$24="Yes",'Data Tables'!AW7,'Data Tables'!AX7),IF($Y$23="650-675",IF($Y$24="Yes",'Data Tables'!AW7,'Data Tables'!AX7),IF($Y$23="675-700",IF($Y$24="Yes",'Data Tables'!AW7,'Data Tables'!AX7),IF($Y$23="700-750",IF($Y$24="Yes",'Data Tables'!BC7,'Data Tables'!BD7),IF($Y$23="750-800",IF($Y$24="Yes",'Data Tables'!BC7,'Data Tables'!BD7),IF($Y$23="800-850",IF($Y$24="Yes",'Data Tables'!BC7,'Data Tables'!BD7),IF($Y$24="Yes",'Data Tables'!BC7,'Data Tables'!BD7))))))))))))),IF($Y$21="Yare",(IF($Y$22="Freely draining",IF($Y$23="550-575",IF($Y$24="Yes",'Data Tables'!AS18,'Data Tables'!AT18),IF($Y$23="575-600",IF($Y$24="Yes",'Data Tables'!AS18,'Data Tables'!AT18),IF($Y$23="600-625",IF($Y$24="Yes",'Data Tables'!AS18,'Data Tables'!AT18),IF($Y$23="625-650",IF($Y$24="Yes",'Data Tables'!AS18,'Data Tables'!AT18),IF($Y$23="650-675",IF($Y$24="Yes",'Data Tables'!AS18,'Data Tables'!AT18),IF($Y$23="675-700",IF($Y$24="Yes",'Data Tables'!AS18,'Data Tables'!AT18),IF($Y$23="700-750",IF($Y$24="Yes",'Data Tables'!AY18,'Data Tables'!AZ18),IF($Y$23="750-800",IF($Y$24="Yes",'Data Tables'!AY18,'Data Tables'!AZ18),IF($Y$23="800-850",IF($Y$24="Yes",'Data Tables'!AY18,'Data Tables'!AZ18),IF($Y$24="Yes",'Data Tables'!AY18,'Data Tables'!AZ18)))))))))),IF($Y$22="Impermeable - drained for arable",IF($Y$23="550-575",IF($Y$24="Yes",'Data Tables'!AU18,'Data Tables'!AV18),IF($Y$23="575-600",IF($Y$24="Yes",'Data Tables'!AU18,'Data Tables'!AV18),IF($Y$23="600-625",IF($Y$24="Yes",'Data Tables'!AU18,'Data Tables'!AV18),IF($Y$23="625-650",IF($Y$24="Yes",'Data Tables'!AU18,'Data Tables'!AV18),IF($Y$23="650-675",IF($Y$24="Yes",'Data Tables'!AU18,'Data Tables'!AV18),IF($Y$23="675-700",IF($Y$24="Yes",'Data Tables'!AU18,'Data Tables'!AV18),IF($Y$23="700-750",IF($Y$24="Yes",'Data Tables'!BA18,'Data Tables'!BB18),IF($Y$23="750-800",IF($Y$24="Yes",'Data Tables'!BA18,'Data Tables'!BB18),IF($Y$23="800-850",IF($Y$24="Yes",'Data Tables'!BA18,'Data Tables'!BB18),IF($Y$24="Yes",'Data Tables'!BA18,'Data Tables'!BB18)))))))))),IF($Y$23="550-575",IF($Y$24="Yes",'Data Tables'!AW18,'Data Tables'!AX18),IF($Y$23="575-600",IF($Y$24="Yes",'Data Tables'!AW18,'Data Tables'!AX18),IF($Y$23="600-625",IF($Y$24="Yes",'Data Tables'!AW18,'Data Tables'!AX18),IF($Y$23="625-650",IF($Y$24="Yes",'Data Tables'!AW18,'Data Tables'!AX18),IF($Y$23="650-675",IF($Y$24="Yes",'Data Tables'!AW18,'Data Tables'!AX18),IF($Y$23="675-700",IF($Y$24="Yes",'Data Tables'!AW18,'Data Tables'!AX18),IF($Y$23="700-750",IF($Y$24="Yes",'Data Tables'!BC18,'Data Tables'!BD18),IF($Y$23="750-800",IF($Y$24="Yes",'Data Tables'!BC18,'Data Tables'!BD18),IF($Y$23="800-850",IF($Y$24="Yes",'Data Tables'!BC18,'Data Tables'!BD18),IF($Y$24="Yes",'Data Tables'!BC18,'Data Tables'!BD18))))))))))))),(IF($Y$22="Freely draining",IF($Y$23="550-575",IF($Y$24="Yes",'Data Tables'!AM29,'Data Tables'!AN29),IF($Y$23="575-600",IF($Y$24="Yes",'Data Tables'!AM29,'Data Tables'!AN29),IF($Y$23="600-625",IF($Y$24="Yes",'Data Tables'!AS29,'Data Tables'!AT29),IF($Y$23="625-650",IF($Y$24="Yes",'Data Tables'!AS29,'Data Tables'!AT29),IF($Y$23="650-675",IF($Y$24="Yes",'Data Tables'!AS29,'Data Tables'!AT29),IF($Y$23="675-700",IF($Y$24="Yes",'Data Tables'!AS29,'Data Tables'!AT29),IF($Y$23="700-750",IF($Y$24="Yes",'Data Tables'!AY29,'Data Tables'!AZ29),IF($Y$23="750-800",IF($Y$24="Yes",'Data Tables'!AY29,'Data Tables'!AZ29),IF($Y$23="800-850",IF($Y$24="Yes",'Data Tables'!AY29,'Data Tables'!AZ29),IF($Y$24="Yes",'Data Tables'!AY29,'Data Tables'!AZ29)))))))))),IF($Y$22="Impermeable - drained for arable",IF($Y$23="550-575",IF($Y$24="Yes",'Data Tables'!AO29,'Data Tables'!AP29),IF($Y$23="575-600",IF($Y$24="Yes",'Data Tables'!AO29,'Data Tables'!AP29),IF($Y$23="600-625",IF($Y$24="Yes",'Data Tables'!AU29,'Data Tables'!AV29),IF($Y$23="625-650",IF($Y$24="Yes",'Data Tables'!AU29,'Data Tables'!AV29),IF($Y$23="650-675",IF($Y$24="Yes",'Data Tables'!AU29,'Data Tables'!AV29),IF($Y$23="675-700",IF($Y$24="Yes",'Data Tables'!AU29,'Data Tables'!AV29),IF($Y$23="700-750",IF($Y$24="Yes",'Data Tables'!BA29,'Data Tables'!BB29),IF($Y$23="750-800",IF($Y$24="Yes",'Data Tables'!BA29,'Data Tables'!BB29),IF($Y$23="800-850",IF($Y$24="Yes",'Data Tables'!BA29,'Data Tables'!BB29),IF($Y$24="Yes",'Data Tables'!BA29,'Data Tables'!BB29)))))))))),IF($Y$23="550-575",IF($Y$24="Yes",'Data Tables'!AQ29,'Data Tables'!AR29),IF($Y$23="575-600",IF($Y$24="Yes",'Data Tables'!AQ29,'Data Tables'!AR29),IF($Y$23="600-625",IF($Y$24="Yes",'Data Tables'!AW29,'Data Tables'!AX29),IF($Y$23="625-650",IF($Y$24="Yes",'Data Tables'!AW29,'Data Tables'!AX29),IF($Y$23="650-675",IF($Y$24="Yes",'Data Tables'!AW29,'Data Tables'!AX29),IF($Y$23="675-700",IF($Y$24="Yes",'Data Tables'!AW29,'Data Tables'!AX29),IF($Y$23="700-750",IF($Y$24="Yes",'Data Tables'!BC29,'Data Tables'!BD29),IF($Y$23="750-800",IF($Y$24="Yes",'Data Tables'!BC29,'Data Tables'!BD29),IF($Y$23="800-850",IF($Y$24="Yes",'Data Tables'!BC29,'Data Tables'!BD29),IF($Y$24="Yes",'Data Tables'!BC29,'Data Tables'!BD29))))))))))))))),0),"")</f>
        <v/>
      </c>
      <c r="AC34" s="306"/>
      <c r="AF34" s="92"/>
      <c r="AG34" s="92"/>
      <c r="AH34" s="92"/>
      <c r="AI34" s="92"/>
      <c r="AJ34" s="92"/>
      <c r="AK34" s="92"/>
      <c r="AL34" s="92"/>
      <c r="AM34" s="92"/>
      <c r="AN34" s="92"/>
      <c r="AO34" s="92"/>
      <c r="AP34" s="92"/>
      <c r="AQ34" s="92"/>
      <c r="AR34" s="92"/>
      <c r="AT34" s="92"/>
      <c r="AU34" s="92"/>
      <c r="AV34" s="92"/>
      <c r="AW34" s="92"/>
      <c r="AX34" s="92"/>
      <c r="AY34" s="92"/>
      <c r="AZ34" s="92"/>
      <c r="BA34" s="92"/>
    </row>
    <row r="35" spans="2:53" ht="16.2" customHeight="1">
      <c r="B35" s="46"/>
      <c r="C35" s="42"/>
      <c r="D35" s="222"/>
      <c r="E35" s="140" t="str">
        <f>'Stage 2'!F30</f>
        <v>Poultry</v>
      </c>
      <c r="F35" s="140"/>
      <c r="G35" s="140"/>
      <c r="H35" s="140"/>
      <c r="I35" s="140"/>
      <c r="J35" s="49"/>
      <c r="K35" s="308" t="str">
        <f>IF('Stage 2'!$K30&gt;0,'Stage 2'!O30/'Stage 2'!$K30,"")</f>
        <v/>
      </c>
      <c r="L35" s="225"/>
      <c r="M35" s="267" t="str">
        <f>IF('Stage 2'!$K30&gt;0,'Stage 2'!Q30/'Stage 2'!$K30,"")</f>
        <v/>
      </c>
      <c r="N35" s="233" t="s">
        <v>269</v>
      </c>
      <c r="O35" s="235" t="s">
        <v>413</v>
      </c>
      <c r="P35" s="252"/>
      <c r="Q35" s="49"/>
      <c r="R35" s="49"/>
      <c r="S35" s="49"/>
      <c r="T35" s="140" t="str">
        <f>E35</f>
        <v>Poultry</v>
      </c>
      <c r="U35" s="140"/>
      <c r="V35" s="140"/>
      <c r="W35" s="140"/>
      <c r="X35" s="140"/>
      <c r="Y35" s="233" t="s">
        <v>269</v>
      </c>
      <c r="Z35" s="49"/>
      <c r="AA35" s="279"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279" t="str">
        <f>IF($Y$16="Yes",IF($Y35="Yes",IF($Y$21="Wensum",(IF($Y$22="Freely draining",IF($Y$23="550-575",IF($Y$24="Yes",'Data Tables'!AS8,'Data Tables'!AT8),IF($Y$23="575-600",IF($Y$24="Yes",'Data Tables'!AS8,'Data Tables'!AT8),IF($Y$23="600-625",IF($Y$24="Yes",'Data Tables'!AS8,'Data Tables'!AT8),IF($Y$23="625-650",IF($Y$24="Yes",'Data Tables'!AS8,'Data Tables'!AT8),IF($Y$23="650-675",IF($Y$24="Yes",'Data Tables'!AS8,'Data Tables'!AT8),IF($Y$23="675-700",IF($Y$24="Yes",'Data Tables'!AS8,'Data Tables'!AT8),IF($Y$23="700-750",IF($Y$24="Yes",'Data Tables'!AY8,'Data Tables'!AZ8),IF($Y$23="750-800",IF($Y$24="Yes",'Data Tables'!AY8,'Data Tables'!AZ8),IF($Y$23="800-850",IF($Y$24="Yes",'Data Tables'!AY8,'Data Tables'!AZ8),IF($Y$24="Yes",'Data Tables'!AY8,'Data Tables'!AZ8)))))))))),IF($Y$22="Impermeable - drained for arable",IF($Y$23="550-575",IF($Y$24="Yes",'Data Tables'!AU8,'Data Tables'!AV8),IF($Y$23="575-600",IF($Y$24="Yes",'Data Tables'!AU8,'Data Tables'!AV8),IF($Y$23="600-625",IF($Y$24="Yes",'Data Tables'!AU8,'Data Tables'!AV8),IF($Y$23="625-650",IF($Y$24="Yes",'Data Tables'!AU8,'Data Tables'!AV8),IF($Y$23="650-675",IF($Y$24="Yes",'Data Tables'!AU8,'Data Tables'!AV8),IF($Y$23="675-700",IF($Y$24="Yes",'Data Tables'!AU8,'Data Tables'!AV8),IF($Y$23="700-750",IF($Y$24="Yes",'Data Tables'!BA8,'Data Tables'!BB8),IF($Y$23="750-800",IF($Y$24="Yes",'Data Tables'!BA8,'Data Tables'!BB8),IF($Y$23="800-850",IF($Y$24="Yes",'Data Tables'!BA8,'Data Tables'!BB8),IF($Y$24="Yes",'Data Tables'!BA8,'Data Tables'!BB8)))))))))),IF($Y$23="550-575",IF($Y$24="Yes",'Data Tables'!AW8,'Data Tables'!AX8),IF($Y$23="575-600",IF($Y$24="Yes",'Data Tables'!AW8,'Data Tables'!AX8),IF($Y$23="600-625",IF($Y$24="Yes",'Data Tables'!AW8,'Data Tables'!AX8),IF($Y$23="625-650",IF($Y$24="Yes",'Data Tables'!AW8,'Data Tables'!AX8),IF($Y$23="650-675",IF($Y$24="Yes",'Data Tables'!AW8,'Data Tables'!AX8),IF($Y$23="675-700",IF($Y$24="Yes",'Data Tables'!AW8,'Data Tables'!AX8),IF($Y$23="700-750",IF($Y$24="Yes",'Data Tables'!BC8,'Data Tables'!BD8),IF($Y$23="750-800",IF($Y$24="Yes",'Data Tables'!BC8,'Data Tables'!BD8),IF($Y$23="800-850",IF($Y$24="Yes",'Data Tables'!BC8,'Data Tables'!BD8),IF($Y$24="Yes",'Data Tables'!BC8,'Data Tables'!BD8))))))))))))),IF($Y$21="Yare",(IF($Y$22="Freely draining",IF($Y$23="550-575",IF($Y$24="Yes",'Data Tables'!AS19,'Data Tables'!AT19),IF($Y$23="575-600",IF($Y$24="Yes",'Data Tables'!AS19,'Data Tables'!AT19),IF($Y$23="600-625",IF($Y$24="Yes",'Data Tables'!AS19,'Data Tables'!AT19),IF($Y$23="625-650",IF($Y$24="Yes",'Data Tables'!AS19,'Data Tables'!AT19),IF($Y$23="650-675",IF($Y$24="Yes",'Data Tables'!AS19,'Data Tables'!AT19),IF($Y$23="675-700",IF($Y$24="Yes",'Data Tables'!AS19,'Data Tables'!AT19),IF($Y$23="700-750",IF($Y$24="Yes",'Data Tables'!AY19,'Data Tables'!AZ19),IF($Y$23="750-800",IF($Y$24="Yes",'Data Tables'!AY19,'Data Tables'!AZ19),IF($Y$23="800-850",IF($Y$24="Yes",'Data Tables'!AY19,'Data Tables'!AZ19),IF($Y$24="Yes",'Data Tables'!AY19,'Data Tables'!AZ19)))))))))),IF($Y$22="Impermeable - drained for arable",IF($Y$23="550-575",IF($Y$24="Yes",'Data Tables'!AU19,'Data Tables'!AV19),IF($Y$23="575-600",IF($Y$24="Yes",'Data Tables'!AU19,'Data Tables'!AV19),IF($Y$23="600-625",IF($Y$24="Yes",'Data Tables'!AU19,'Data Tables'!AV19),IF($Y$23="625-650",IF($Y$24="Yes",'Data Tables'!AU19,'Data Tables'!AV19),IF($Y$23="650-675",IF($Y$24="Yes",'Data Tables'!AU19,'Data Tables'!AV19),IF($Y$23="675-700",IF($Y$24="Yes",'Data Tables'!AU19,'Data Tables'!AV19),IF($Y$23="700-750",IF($Y$24="Yes",'Data Tables'!BA19,'Data Tables'!BB19),IF($Y$23="750-800",IF($Y$24="Yes",'Data Tables'!BA19,'Data Tables'!BB19),IF($Y$23="800-850",IF($Y$24="Yes",'Data Tables'!BA19,'Data Tables'!BB19),IF($Y$24="Yes",'Data Tables'!BA19,'Data Tables'!BB19)))))))))),IF($Y$23="550-575",IF($Y$24="Yes",'Data Tables'!AW19,'Data Tables'!AX19),IF($Y$23="575-600",IF($Y$24="Yes",'Data Tables'!AW19,'Data Tables'!AX19),IF($Y$23="600-625",IF($Y$24="Yes",'Data Tables'!AW19,'Data Tables'!AX19),IF($Y$23="625-650",IF($Y$24="Yes",'Data Tables'!AW19,'Data Tables'!AX19),IF($Y$23="650-675",IF($Y$24="Yes",'Data Tables'!AW19,'Data Tables'!AX19),IF($Y$23="675-700",IF($Y$24="Yes",'Data Tables'!AW19,'Data Tables'!AX19),IF($Y$23="700-750",IF($Y$24="Yes",'Data Tables'!BC19,'Data Tables'!BD19),IF($Y$23="750-800",IF($Y$24="Yes",'Data Tables'!BC19,'Data Tables'!BD19),IF($Y$23="800-850",IF($Y$24="Yes",'Data Tables'!BC19,'Data Tables'!BD19),IF($Y$24="Yes",'Data Tables'!BC19,'Data Tables'!BD19))))))))))))),(IF($Y$22="Freely draining",IF($Y$23="550-575",IF($Y$24="Yes",'Data Tables'!AM30,'Data Tables'!AN30),IF($Y$23="575-600",IF($Y$24="Yes",'Data Tables'!AM30,'Data Tables'!AN30),IF($Y$23="600-625",IF($Y$24="Yes",'Data Tables'!AS30,'Data Tables'!AT30),IF($Y$23="625-650",IF($Y$24="Yes",'Data Tables'!AS30,'Data Tables'!AT30),IF($Y$23="650-675",IF($Y$24="Yes",'Data Tables'!AS30,'Data Tables'!AT30),IF($Y$23="675-700",IF($Y$24="Yes",'Data Tables'!AS30,'Data Tables'!AT30),IF($Y$23="700-750",IF($Y$24="Yes",'Data Tables'!AY30,'Data Tables'!AZ30),IF($Y$23="750-800",IF($Y$24="Yes",'Data Tables'!AY30,'Data Tables'!AZ30),IF($Y$23="800-850",IF($Y$24="Yes",'Data Tables'!AY30,'Data Tables'!AZ30),IF($Y$24="Yes",'Data Tables'!AY30,'Data Tables'!AZ30)))))))))),IF($Y$22="Impermeable - drained for arable",IF($Y$23="550-575",IF($Y$24="Yes",'Data Tables'!AO30,'Data Tables'!AP30),IF($Y$23="575-600",IF($Y$24="Yes",'Data Tables'!AO30,'Data Tables'!AP30),IF($Y$23="600-625",IF($Y$24="Yes",'Data Tables'!AU30,'Data Tables'!AV30),IF($Y$23="625-650",IF($Y$24="Yes",'Data Tables'!AU30,'Data Tables'!AV30),IF($Y$23="650-675",IF($Y$24="Yes",'Data Tables'!AU30,'Data Tables'!AV30),IF($Y$23="675-700",IF($Y$24="Yes",'Data Tables'!AU30,'Data Tables'!AV30),IF($Y$23="700-750",IF($Y$24="Yes",'Data Tables'!BA30,'Data Tables'!BB30),IF($Y$23="750-800",IF($Y$24="Yes",'Data Tables'!BA30,'Data Tables'!BB30),IF($Y$23="800-850",IF($Y$24="Yes",'Data Tables'!BA30,'Data Tables'!BB30),IF($Y$24="Yes",'Data Tables'!BA30,'Data Tables'!BB30)))))))))),IF($Y$23="550-575",IF($Y$24="Yes",'Data Tables'!AQ30,'Data Tables'!AR30),IF($Y$23="575-600",IF($Y$24="Yes",'Data Tables'!AQ30,'Data Tables'!AR30),IF($Y$23="600-625",IF($Y$24="Yes",'Data Tables'!AW30,'Data Tables'!AX30),IF($Y$23="625-650",IF($Y$24="Yes",'Data Tables'!AW30,'Data Tables'!AX30),IF($Y$23="650-675",IF($Y$24="Yes",'Data Tables'!AW30,'Data Tables'!AX30),IF($Y$23="675-700",IF($Y$24="Yes",'Data Tables'!AW30,'Data Tables'!AX30),IF($Y$23="700-750",IF($Y$24="Yes",'Data Tables'!BC30,'Data Tables'!BD30),IF($Y$23="750-800",IF($Y$24="Yes",'Data Tables'!BC30,'Data Tables'!BD30),IF($Y$23="800-850",IF($Y$24="Yes",'Data Tables'!BC30,'Data Tables'!BD30),IF($Y$24="Yes",'Data Tables'!BC30,'Data Tables'!BD30))))))))))))))),0),"")</f>
        <v/>
      </c>
      <c r="AC35" s="306"/>
      <c r="AF35" s="92"/>
      <c r="AG35" s="92"/>
      <c r="AH35" s="92"/>
      <c r="AI35" s="92"/>
      <c r="AJ35" s="92"/>
      <c r="AK35" s="92"/>
      <c r="AL35" s="92"/>
      <c r="AM35" s="92"/>
      <c r="AN35" s="92"/>
      <c r="AO35" s="92"/>
      <c r="AP35" s="92"/>
      <c r="AQ35" s="92"/>
      <c r="AR35" s="92"/>
      <c r="AT35" s="92"/>
      <c r="AU35" s="92"/>
      <c r="AV35" s="92"/>
      <c r="AW35" s="92"/>
      <c r="AX35" s="92"/>
      <c r="AY35" s="92"/>
      <c r="AZ35" s="92"/>
      <c r="BA35" s="92"/>
    </row>
    <row r="36" spans="2:53" ht="16.2" customHeight="1">
      <c r="B36" s="46"/>
      <c r="C36" s="42"/>
      <c r="D36" s="222"/>
      <c r="E36" s="140" t="str">
        <f>'Stage 2'!F31</f>
        <v>Pigs</v>
      </c>
      <c r="F36" s="140"/>
      <c r="G36" s="140"/>
      <c r="H36" s="140"/>
      <c r="I36" s="140"/>
      <c r="J36" s="49"/>
      <c r="K36" s="308" t="str">
        <f>IF('Stage 2'!$K31&gt;0,'Stage 2'!O31/'Stage 2'!$K31,"")</f>
        <v/>
      </c>
      <c r="L36" s="225"/>
      <c r="M36" s="267" t="str">
        <f>IF('Stage 2'!$K31&gt;0,'Stage 2'!Q31/'Stage 2'!$K31,"")</f>
        <v/>
      </c>
      <c r="N36" s="233" t="s">
        <v>269</v>
      </c>
      <c r="O36" s="235" t="s">
        <v>413</v>
      </c>
      <c r="P36" s="252"/>
      <c r="Q36" s="49"/>
      <c r="R36" s="49"/>
      <c r="S36" s="49"/>
      <c r="T36" s="140" t="str">
        <f>E36</f>
        <v>Pigs</v>
      </c>
      <c r="U36" s="140"/>
      <c r="V36" s="140"/>
      <c r="W36" s="140"/>
      <c r="X36" s="140"/>
      <c r="Y36" s="233" t="s">
        <v>269</v>
      </c>
      <c r="Z36" s="49"/>
      <c r="AA36" s="279"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279" t="str">
        <f>IF($Y$16="Yes",IF($Y36="Yes",IF($Y$21="Wensum",(IF($Y$22="Freely draining",IF($Y$23="550-575",IF($Y$24="Yes",'Data Tables'!AS9,'Data Tables'!AT9),IF($Y$23="575-600",IF($Y$24="Yes",'Data Tables'!AS9,'Data Tables'!AT9),IF($Y$23="600-625",IF($Y$24="Yes",'Data Tables'!AS9,'Data Tables'!AT9),IF($Y$23="625-650",IF($Y$24="Yes",'Data Tables'!AS9,'Data Tables'!AT9),IF($Y$23="650-675",IF($Y$24="Yes",'Data Tables'!AS9,'Data Tables'!AT9),IF($Y$23="675-700",IF($Y$24="Yes",'Data Tables'!AS9,'Data Tables'!AT9),IF($Y$23="700-750",IF($Y$24="Yes",'Data Tables'!AY9,'Data Tables'!AZ9),IF($Y$23="750-800",IF($Y$24="Yes",'Data Tables'!AY9,'Data Tables'!AZ9),IF($Y$23="800-850",IF($Y$24="Yes",'Data Tables'!AY9,'Data Tables'!AZ9),IF($Y$24="Yes",'Data Tables'!AY9,'Data Tables'!AZ9)))))))))),IF($Y$22="Impermeable - drained for arable",IF($Y$23="550-575",IF($Y$24="Yes",'Data Tables'!AU9,'Data Tables'!AV9),IF($Y$23="575-600",IF($Y$24="Yes",'Data Tables'!AU9,'Data Tables'!AV9),IF($Y$23="600-625",IF($Y$24="Yes",'Data Tables'!AU9,'Data Tables'!AV9),IF($Y$23="625-650",IF($Y$24="Yes",'Data Tables'!AU9,'Data Tables'!AV9),IF($Y$23="650-675",IF($Y$24="Yes",'Data Tables'!AU9,'Data Tables'!AV9),IF($Y$23="675-700",IF($Y$24="Yes",'Data Tables'!AU9,'Data Tables'!AV9),IF($Y$23="700-750",IF($Y$24="Yes",'Data Tables'!BA9,'Data Tables'!BB9),IF($Y$23="750-800",IF($Y$24="Yes",'Data Tables'!BA9,'Data Tables'!BB9),IF($Y$23="800-850",IF($Y$24="Yes",'Data Tables'!BA9,'Data Tables'!BB9),IF($Y$24="Yes",'Data Tables'!BA9,'Data Tables'!BB9)))))))))),IF($Y$23="550-575",IF($Y$24="Yes",'Data Tables'!AW9,'Data Tables'!AX9),IF($Y$23="575-600",IF($Y$24="Yes",'Data Tables'!AW9,'Data Tables'!AX9),IF($Y$23="600-625",IF($Y$24="Yes",'Data Tables'!AW9,'Data Tables'!AX9),IF($Y$23="625-650",IF($Y$24="Yes",'Data Tables'!AW9,'Data Tables'!AX9),IF($Y$23="650-675",IF($Y$24="Yes",'Data Tables'!AW9,'Data Tables'!AX9),IF($Y$23="675-700",IF($Y$24="Yes",'Data Tables'!AW9,'Data Tables'!AX9),IF($Y$23="700-750",IF($Y$24="Yes",'Data Tables'!BC9,'Data Tables'!BD9),IF($Y$23="750-800",IF($Y$24="Yes",'Data Tables'!BC9,'Data Tables'!BD9),IF($Y$23="800-850",IF($Y$24="Yes",'Data Tables'!BC9,'Data Tables'!BD9),IF($Y$24="Yes",'Data Tables'!BC9,'Data Tables'!BD9))))))))))))),IF($Y$21="Yare",(IF($Y$22="Freely draining",IF($Y$23="550-575",IF($Y$24="Yes",'Data Tables'!AS20,'Data Tables'!AT20),IF($Y$23="575-600",IF($Y$24="Yes",'Data Tables'!AS20,'Data Tables'!AT20),IF($Y$23="600-625",IF($Y$24="Yes",'Data Tables'!AS20,'Data Tables'!AT20),IF($Y$23="625-650",IF($Y$24="Yes",'Data Tables'!AS20,'Data Tables'!AT20),IF($Y$23="650-675",IF($Y$24="Yes",'Data Tables'!AS20,'Data Tables'!AT20),IF($Y$23="675-700",IF($Y$24="Yes",'Data Tables'!AS20,'Data Tables'!AT20),IF($Y$23="700-750",IF($Y$24="Yes",'Data Tables'!AY20,'Data Tables'!AZ20),IF($Y$23="750-800",IF($Y$24="Yes",'Data Tables'!AY20,'Data Tables'!AZ20),IF($Y$23="800-850",IF($Y$24="Yes",'Data Tables'!AY20,'Data Tables'!AZ20),IF($Y$24="Yes",'Data Tables'!AY20,'Data Tables'!AZ20)))))))))),IF($Y$22="Impermeable - drained for arable",IF($Y$23="550-575",IF($Y$24="Yes",'Data Tables'!AU20,'Data Tables'!AV20),IF($Y$23="575-600",IF($Y$24="Yes",'Data Tables'!AU20,'Data Tables'!AV20),IF($Y$23="600-625",IF($Y$24="Yes",'Data Tables'!AU20,'Data Tables'!AV20),IF($Y$23="625-650",IF($Y$24="Yes",'Data Tables'!AU20,'Data Tables'!AV20),IF($Y$23="650-675",IF($Y$24="Yes",'Data Tables'!AU20,'Data Tables'!AV20),IF($Y$23="675-700",IF($Y$24="Yes",'Data Tables'!AU20,'Data Tables'!AV20),IF($Y$23="700-750",IF($Y$24="Yes",'Data Tables'!BA20,'Data Tables'!BB20),IF($Y$23="750-800",IF($Y$24="Yes",'Data Tables'!BA20,'Data Tables'!BB20),IF($Y$23="800-850",IF($Y$24="Yes",'Data Tables'!BA20,'Data Tables'!BB20),IF($Y$24="Yes",'Data Tables'!BA20,'Data Tables'!BB20)))))))))),IF($Y$23="550-575",IF($Y$24="Yes",'Data Tables'!AW20,'Data Tables'!AX20),IF($Y$23="575-600",IF($Y$24="Yes",'Data Tables'!AW20,'Data Tables'!AX20),IF($Y$23="600-625",IF($Y$24="Yes",'Data Tables'!AW20,'Data Tables'!AX20),IF($Y$23="625-650",IF($Y$24="Yes",'Data Tables'!AW20,'Data Tables'!AX20),IF($Y$23="650-675",IF($Y$24="Yes",'Data Tables'!AW20,'Data Tables'!AX20),IF($Y$23="675-700",IF($Y$24="Yes",'Data Tables'!AW20,'Data Tables'!AX20),IF($Y$23="700-750",IF($Y$24="Yes",'Data Tables'!BC20,'Data Tables'!BD20),IF($Y$23="750-800",IF($Y$24="Yes",'Data Tables'!BC20,'Data Tables'!BD20),IF($Y$23="800-850",IF($Y$24="Yes",'Data Tables'!BC20,'Data Tables'!BD20),IF($Y$24="Yes",'Data Tables'!BC20,'Data Tables'!BD20))))))))))))),(IF($Y$22="Freely draining",IF($Y$23="550-575",IF($Y$24="Yes",'Data Tables'!AM31,'Data Tables'!AN31),IF($Y$23="575-600",IF($Y$24="Yes",'Data Tables'!AM31,'Data Tables'!AN31),IF($Y$23="600-625",IF($Y$24="Yes",'Data Tables'!AS31,'Data Tables'!AT31),IF($Y$23="625-650",IF($Y$24="Yes",'Data Tables'!AS31,'Data Tables'!AT31),IF($Y$23="650-675",IF($Y$24="Yes",'Data Tables'!AS31,'Data Tables'!AT31),IF($Y$23="675-700",IF($Y$24="Yes",'Data Tables'!AS31,'Data Tables'!AT31),IF($Y$23="700-750",IF($Y$24="Yes",'Data Tables'!AY31,'Data Tables'!AZ31),IF($Y$23="750-800",IF($Y$24="Yes",'Data Tables'!AY31,'Data Tables'!AZ31),IF($Y$23="800-850",IF($Y$24="Yes",'Data Tables'!AY31,'Data Tables'!AZ31),IF($Y$24="Yes",'Data Tables'!AY31,'Data Tables'!AZ31)))))))))),IF($Y$22="Impermeable - drained for arable",IF($Y$23="550-575",IF($Y$24="Yes",'Data Tables'!AO31,'Data Tables'!AP31),IF($Y$23="575-600",IF($Y$24="Yes",'Data Tables'!AO31,'Data Tables'!AP31),IF($Y$23="600-625",IF($Y$24="Yes",'Data Tables'!AU31,'Data Tables'!AV31),IF($Y$23="625-650",IF($Y$24="Yes",'Data Tables'!AU31,'Data Tables'!AV31),IF($Y$23="650-675",IF($Y$24="Yes",'Data Tables'!AU31,'Data Tables'!AV31),IF($Y$23="675-700",IF($Y$24="Yes",'Data Tables'!AU31,'Data Tables'!AV31),IF($Y$23="700-750",IF($Y$24="Yes",'Data Tables'!BA31,'Data Tables'!BB31),IF($Y$23="750-800",IF($Y$24="Yes",'Data Tables'!BA31,'Data Tables'!BB31),IF($Y$23="800-850",IF($Y$24="Yes",'Data Tables'!BA31,'Data Tables'!BB31),IF($Y$24="Yes",'Data Tables'!BA31,'Data Tables'!BB31)))))))))),IF($Y$23="550-575",IF($Y$24="Yes",'Data Tables'!AQ31,'Data Tables'!AR31),IF($Y$23="575-600",IF($Y$24="Yes",'Data Tables'!AQ31,'Data Tables'!AR31),IF($Y$23="600-625",IF($Y$24="Yes",'Data Tables'!AW31,'Data Tables'!AX31),IF($Y$23="625-650",IF($Y$24="Yes",'Data Tables'!AW31,'Data Tables'!AX31),IF($Y$23="650-675",IF($Y$24="Yes",'Data Tables'!AW31,'Data Tables'!AX31),IF($Y$23="675-700",IF($Y$24="Yes",'Data Tables'!AW31,'Data Tables'!AX31),IF($Y$23="700-750",IF($Y$24="Yes",'Data Tables'!BC31,'Data Tables'!BD31),IF($Y$23="750-800",IF($Y$24="Yes",'Data Tables'!BC31,'Data Tables'!BD31),IF($Y$23="800-850",IF($Y$24="Yes",'Data Tables'!BC31,'Data Tables'!BD31),IF($Y$24="Yes",'Data Tables'!BC31,'Data Tables'!BD31))))))))))))))),0),"")</f>
        <v/>
      </c>
      <c r="AC36" s="306"/>
      <c r="AF36" s="92"/>
      <c r="AG36" s="92"/>
      <c r="AH36" s="92"/>
      <c r="AI36" s="92"/>
      <c r="AJ36" s="92"/>
      <c r="AK36" s="92"/>
      <c r="AL36" s="92"/>
      <c r="AM36" s="92"/>
      <c r="AN36" s="92"/>
      <c r="AO36" s="92"/>
      <c r="AP36" s="92"/>
      <c r="AQ36" s="92"/>
      <c r="AR36" s="92"/>
      <c r="AT36" s="92"/>
      <c r="AU36" s="92"/>
      <c r="AV36" s="92"/>
      <c r="AW36" s="92"/>
      <c r="AX36" s="92"/>
      <c r="AY36" s="92"/>
      <c r="AZ36" s="92"/>
      <c r="BA36" s="92"/>
    </row>
    <row r="37" spans="2:53" ht="16.2" customHeight="1">
      <c r="B37" s="46"/>
      <c r="C37" s="42"/>
      <c r="D37" s="222"/>
      <c r="E37" s="140" t="str">
        <f>'Stage 2'!F32</f>
        <v>Horticulture</v>
      </c>
      <c r="F37" s="140"/>
      <c r="G37" s="140"/>
      <c r="H37" s="140"/>
      <c r="I37" s="140"/>
      <c r="J37" s="49"/>
      <c r="K37" s="308" t="str">
        <f>IF('Stage 2'!$K32&gt;0,'Stage 2'!O32/'Stage 2'!$K32,"")</f>
        <v/>
      </c>
      <c r="L37" s="225"/>
      <c r="M37" s="267" t="str">
        <f>IF('Stage 2'!$K32&gt;0,'Stage 2'!Q32/'Stage 2'!$K32,"")</f>
        <v/>
      </c>
      <c r="N37" s="233" t="s">
        <v>269</v>
      </c>
      <c r="O37" s="235" t="s">
        <v>413</v>
      </c>
      <c r="P37" s="252"/>
      <c r="Q37" s="49"/>
      <c r="R37" s="49"/>
      <c r="S37" s="49"/>
      <c r="T37" s="140" t="str">
        <f>E37</f>
        <v>Horticulture</v>
      </c>
      <c r="U37" s="140"/>
      <c r="V37" s="140"/>
      <c r="W37" s="140"/>
      <c r="X37" s="140"/>
      <c r="Y37" s="233" t="s">
        <v>269</v>
      </c>
      <c r="Z37" s="49"/>
      <c r="AA37" s="279"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279" t="str">
        <f>IF($Y$16="Yes",IF($Y37="Yes",IF($Y$21="Wensum",(IF($Y$22="Freely draining",IF($Y$23="550-575",IF($Y$24="Yes",'Data Tables'!AS10,'Data Tables'!AT10),IF($Y$23="575-600",IF($Y$24="Yes",'Data Tables'!AS10,'Data Tables'!AT10),IF($Y$23="600-625",IF($Y$24="Yes",'Data Tables'!AS10,'Data Tables'!AT10),IF($Y$23="625-650",IF($Y$24="Yes",'Data Tables'!AS10,'Data Tables'!AT10),IF($Y$23="650-675",IF($Y$24="Yes",'Data Tables'!AS10,'Data Tables'!AT10),IF($Y$23="675-700",IF($Y$24="Yes",'Data Tables'!AS10,'Data Tables'!AT10),IF($Y$23="700-750",IF($Y$24="Yes",'Data Tables'!AY10,'Data Tables'!AZ10),IF($Y$23="750-800",IF($Y$24="Yes",'Data Tables'!AY10,'Data Tables'!AZ10),IF($Y$23="800-850",IF($Y$24="Yes",'Data Tables'!AY10,'Data Tables'!AZ10),IF($Y$24="Yes",'Data Tables'!AY10,'Data Tables'!AZ10)))))))))),IF($Y$22="Impermeable - drained for arable",IF($Y$23="550-575",IF($Y$24="Yes",'Data Tables'!AU10,'Data Tables'!AV10),IF($Y$23="575-600",IF($Y$24="Yes",'Data Tables'!AU10,'Data Tables'!AV10),IF($Y$23="600-625",IF($Y$24="Yes",'Data Tables'!AU10,'Data Tables'!AV10),IF($Y$23="625-650",IF($Y$24="Yes",'Data Tables'!AU10,'Data Tables'!AV10),IF($Y$23="650-675",IF($Y$24="Yes",'Data Tables'!AU10,'Data Tables'!AV10),IF($Y$23="675-700",IF($Y$24="Yes",'Data Tables'!AU10,'Data Tables'!AV10),IF($Y$23="700-750",IF($Y$24="Yes",'Data Tables'!BA10,'Data Tables'!BB10),IF($Y$23="750-800",IF($Y$24="Yes",'Data Tables'!BA10,'Data Tables'!BB10),IF($Y$23="800-850",IF($Y$24="Yes",'Data Tables'!BA10,'Data Tables'!BB10),IF($Y$24="Yes",'Data Tables'!BA10,'Data Tables'!BB10)))))))))),IF($Y$23="550-575",IF($Y$24="Yes",'Data Tables'!AW10,'Data Tables'!AX10),IF($Y$23="575-600",IF($Y$24="Yes",'Data Tables'!AW10,'Data Tables'!AX10),IF($Y$23="600-625",IF($Y$24="Yes",'Data Tables'!AW10,'Data Tables'!AX10),IF($Y$23="625-650",IF($Y$24="Yes",'Data Tables'!AW10,'Data Tables'!AX10),IF($Y$23="650-675",IF($Y$24="Yes",'Data Tables'!AW10,'Data Tables'!AX10),IF($Y$23="675-700",IF($Y$24="Yes",'Data Tables'!AW10,'Data Tables'!AX10),IF($Y$23="700-750",IF($Y$24="Yes",'Data Tables'!BC10,'Data Tables'!BD10),IF($Y$23="750-800",IF($Y$24="Yes",'Data Tables'!BC10,'Data Tables'!BD10),IF($Y$23="800-850",IF($Y$24="Yes",'Data Tables'!BC10,'Data Tables'!BD10),IF($Y$24="Yes",'Data Tables'!BC10,'Data Tables'!BD10))))))))))))),IF($Y$21="Yare",(IF($Y$22="Freely draining",IF($Y$23="550-575",IF($Y$24="Yes",'Data Tables'!AS21,'Data Tables'!AT21),IF($Y$23="575-600",IF($Y$24="Yes",'Data Tables'!AS21,'Data Tables'!AT21),IF($Y$23="600-625",IF($Y$24="Yes",'Data Tables'!AS21,'Data Tables'!AT21),IF($Y$23="625-650",IF($Y$24="Yes",'Data Tables'!AS21,'Data Tables'!AT21),IF($Y$23="650-675",IF($Y$24="Yes",'Data Tables'!AS21,'Data Tables'!AT21),IF($Y$23="675-700",IF($Y$24="Yes",'Data Tables'!AS21,'Data Tables'!AT21),IF($Y$23="700-750",IF($Y$24="Yes",'Data Tables'!AY21,'Data Tables'!AZ21),IF($Y$23="750-800",IF($Y$24="Yes",'Data Tables'!AY21,'Data Tables'!AZ21),IF($Y$23="800-850",IF($Y$24="Yes",'Data Tables'!AY21,'Data Tables'!AZ21),IF($Y$24="Yes",'Data Tables'!AY21,'Data Tables'!AZ21)))))))))),IF($Y$22="Impermeable - drained for arable",IF($Y$23="550-575",IF($Y$24="Yes",'Data Tables'!AU21,'Data Tables'!AV21),IF($Y$23="575-600",IF($Y$24="Yes",'Data Tables'!AU21,'Data Tables'!AV21),IF($Y$23="600-625",IF($Y$24="Yes",'Data Tables'!AU21,'Data Tables'!AV21),IF($Y$23="625-650",IF($Y$24="Yes",'Data Tables'!AU21,'Data Tables'!AV21),IF($Y$23="650-675",IF($Y$24="Yes",'Data Tables'!AU21,'Data Tables'!AV21),IF($Y$23="675-700",IF($Y$24="Yes",'Data Tables'!AU21,'Data Tables'!AV21),IF($Y$23="700-750",IF($Y$24="Yes",'Data Tables'!BA21,'Data Tables'!BB21),IF($Y$23="750-800",IF($Y$24="Yes",'Data Tables'!BA21,'Data Tables'!BB21),IF($Y$23="800-850",IF($Y$24="Yes",'Data Tables'!BA21,'Data Tables'!BB21),IF($Y$24="Yes",'Data Tables'!BA21,'Data Tables'!BB21)))))))))),IF($Y$23="550-575",IF($Y$24="Yes",'Data Tables'!AW21,'Data Tables'!AX21),IF($Y$23="575-600",IF($Y$24="Yes",'Data Tables'!AW21,'Data Tables'!AX21),IF($Y$23="600-625",IF($Y$24="Yes",'Data Tables'!AW21,'Data Tables'!AX21),IF($Y$23="625-650",IF($Y$24="Yes",'Data Tables'!AW21,'Data Tables'!AX21),IF($Y$23="650-675",IF($Y$24="Yes",'Data Tables'!AW21,'Data Tables'!AX21),IF($Y$23="675-700",IF($Y$24="Yes",'Data Tables'!AW21,'Data Tables'!AX21),IF($Y$23="700-750",IF($Y$24="Yes",'Data Tables'!BC21,'Data Tables'!BD21),IF($Y$23="750-800",IF($Y$24="Yes",'Data Tables'!BC21,'Data Tables'!BD21),IF($Y$23="800-850",IF($Y$24="Yes",'Data Tables'!BC21,'Data Tables'!BD21),IF($Y$24="Yes",'Data Tables'!BC21,'Data Tables'!BD21))))))))))))),(IF($Y$22="Freely draining",IF($Y$23="550-575",IF($Y$24="Yes",'Data Tables'!AM32,'Data Tables'!AN32),IF($Y$23="575-600",IF($Y$24="Yes",'Data Tables'!AM32,'Data Tables'!AN32),IF($Y$23="600-625",IF($Y$24="Yes",'Data Tables'!AS32,'Data Tables'!AT32),IF($Y$23="625-650",IF($Y$24="Yes",'Data Tables'!AS32,'Data Tables'!AT32),IF($Y$23="650-675",IF($Y$24="Yes",'Data Tables'!AS32,'Data Tables'!AT32),IF($Y$23="675-700",IF($Y$24="Yes",'Data Tables'!AS32,'Data Tables'!AT32),IF($Y$23="700-750",IF($Y$24="Yes",'Data Tables'!AY32,'Data Tables'!AZ32),IF($Y$23="750-800",IF($Y$24="Yes",'Data Tables'!AY32,'Data Tables'!AZ32),IF($Y$23="800-850",IF($Y$24="Yes",'Data Tables'!AY32,'Data Tables'!AZ32),IF($Y$24="Yes",'Data Tables'!AY32,'Data Tables'!AZ32)))))))))),IF($Y$22="Impermeable - drained for arable",IF($Y$23="550-575",IF($Y$24="Yes",'Data Tables'!AO32,'Data Tables'!AP32),IF($Y$23="575-600",IF($Y$24="Yes",'Data Tables'!AO32,'Data Tables'!AP32),IF($Y$23="600-625",IF($Y$24="Yes",'Data Tables'!AU32,'Data Tables'!AV32),IF($Y$23="625-650",IF($Y$24="Yes",'Data Tables'!AU32,'Data Tables'!AV32),IF($Y$23="650-675",IF($Y$24="Yes",'Data Tables'!AU32,'Data Tables'!AV32),IF($Y$23="675-700",IF($Y$24="Yes",'Data Tables'!AU32,'Data Tables'!AV32),IF($Y$23="700-750",IF($Y$24="Yes",'Data Tables'!BA32,'Data Tables'!BB32),IF($Y$23="750-800",IF($Y$24="Yes",'Data Tables'!BA32,'Data Tables'!BB32),IF($Y$23="800-850",IF($Y$24="Yes",'Data Tables'!BA32,'Data Tables'!BB32),IF($Y$24="Yes",'Data Tables'!BA32,'Data Tables'!BB32)))))))))),IF($Y$23="550-575",IF($Y$24="Yes",'Data Tables'!AQ32,'Data Tables'!AR32),IF($Y$23="575-600",IF($Y$24="Yes",'Data Tables'!AQ32,'Data Tables'!AR32),IF($Y$23="600-625",IF($Y$24="Yes",'Data Tables'!AW32,'Data Tables'!AX32),IF($Y$23="625-650",IF($Y$24="Yes",'Data Tables'!AW32,'Data Tables'!AX32),IF($Y$23="650-675",IF($Y$24="Yes",'Data Tables'!AW32,'Data Tables'!AX32),IF($Y$23="675-700",IF($Y$24="Yes",'Data Tables'!AW32,'Data Tables'!AX32),IF($Y$23="700-750",IF($Y$24="Yes",'Data Tables'!BC32,'Data Tables'!BD32),IF($Y$23="750-800",IF($Y$24="Yes",'Data Tables'!BC32,'Data Tables'!BD32),IF($Y$23="800-850",IF($Y$24="Yes",'Data Tables'!BC32,'Data Tables'!BD32),IF($Y$24="Yes",'Data Tables'!BC32,'Data Tables'!BD32))))))))))))))),0),"")</f>
        <v/>
      </c>
      <c r="AC37" s="306"/>
      <c r="AF37" s="92"/>
      <c r="AG37" s="92"/>
      <c r="AH37" s="92"/>
      <c r="AI37" s="92"/>
      <c r="AJ37" s="92"/>
      <c r="AK37" s="92"/>
      <c r="AL37" s="92"/>
      <c r="AM37" s="92"/>
      <c r="AN37" s="92"/>
      <c r="AO37" s="92"/>
      <c r="AP37" s="92"/>
      <c r="AQ37" s="92"/>
      <c r="AR37" s="92"/>
      <c r="AT37" s="92"/>
      <c r="AU37" s="92"/>
      <c r="AV37" s="92"/>
      <c r="AW37" s="92"/>
      <c r="AX37" s="92"/>
      <c r="AY37" s="92"/>
      <c r="AZ37" s="92"/>
      <c r="BA37" s="92"/>
    </row>
    <row r="38" spans="2:53" ht="16.2" customHeight="1">
      <c r="B38" s="46"/>
      <c r="C38" s="42"/>
      <c r="D38" s="222"/>
      <c r="E38" s="140" t="str">
        <f>'Stage 2'!F33</f>
        <v>Cereals</v>
      </c>
      <c r="F38" s="140"/>
      <c r="G38" s="140"/>
      <c r="H38" s="140"/>
      <c r="I38" s="140"/>
      <c r="J38" s="49"/>
      <c r="K38" s="308" t="str">
        <f>IF('Stage 2'!$K33&gt;0,'Stage 2'!O33/'Stage 2'!$K33,"")</f>
        <v/>
      </c>
      <c r="L38" s="225"/>
      <c r="M38" s="267" t="str">
        <f>IF('Stage 2'!$K33&gt;0,'Stage 2'!Q33/'Stage 2'!$K33,"")</f>
        <v/>
      </c>
      <c r="N38" s="233" t="s">
        <v>269</v>
      </c>
      <c r="O38" s="235" t="s">
        <v>413</v>
      </c>
      <c r="P38" s="252"/>
      <c r="Q38" s="49"/>
      <c r="R38" s="49"/>
      <c r="S38" s="49"/>
      <c r="T38" s="140" t="str">
        <f>E38</f>
        <v>Cereals</v>
      </c>
      <c r="U38" s="140"/>
      <c r="V38" s="140"/>
      <c r="W38" s="140"/>
      <c r="X38" s="140"/>
      <c r="Y38" s="233" t="s">
        <v>269</v>
      </c>
      <c r="Z38" s="49"/>
      <c r="AA38" s="279"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279" t="str">
        <f>IF($Y$16="Yes",IF($Y38="Yes",IF($Y$21="Wensum",(IF($Y$22="Freely draining",IF($Y$23="550-575",IF($Y$24="Yes",'Data Tables'!AS11,'Data Tables'!AT11),IF($Y$23="575-600",IF($Y$24="Yes",'Data Tables'!AS11,'Data Tables'!AT11),IF($Y$23="600-625",IF($Y$24="Yes",'Data Tables'!AS11,'Data Tables'!AT11),IF($Y$23="625-650",IF($Y$24="Yes",'Data Tables'!AS11,'Data Tables'!AT11),IF($Y$23="650-675",IF($Y$24="Yes",'Data Tables'!AS11,'Data Tables'!AT11),IF($Y$23="675-700",IF($Y$24="Yes",'Data Tables'!AS11,'Data Tables'!AT11),IF($Y$23="700-750",IF($Y$24="Yes",'Data Tables'!AY11,'Data Tables'!AZ11),IF($Y$23="750-800",IF($Y$24="Yes",'Data Tables'!AY11,'Data Tables'!AZ11),IF($Y$23="800-850",IF($Y$24="Yes",'Data Tables'!AY11,'Data Tables'!AZ11),IF($Y$24="Yes",'Data Tables'!AY11,'Data Tables'!AZ11)))))))))),IF($Y$22="Impermeable - drained for arable",IF($Y$23="550-575",IF($Y$24="Yes",'Data Tables'!AU11,'Data Tables'!AV11),IF($Y$23="575-600",IF($Y$24="Yes",'Data Tables'!AU11,'Data Tables'!AV11),IF($Y$23="600-625",IF($Y$24="Yes",'Data Tables'!AU11,'Data Tables'!AV11),IF($Y$23="625-650",IF($Y$24="Yes",'Data Tables'!AU11,'Data Tables'!AV11),IF($Y$23="650-675",IF($Y$24="Yes",'Data Tables'!AU11,'Data Tables'!AV11),IF($Y$23="675-700",IF($Y$24="Yes",'Data Tables'!AU11,'Data Tables'!AV11),IF($Y$23="700-750",IF($Y$24="Yes",'Data Tables'!BA11,'Data Tables'!BB11),IF($Y$23="750-800",IF($Y$24="Yes",'Data Tables'!BA11,'Data Tables'!BB11),IF($Y$23="800-850",IF($Y$24="Yes",'Data Tables'!BA11,'Data Tables'!BB11),IF($Y$24="Yes",'Data Tables'!BA11,'Data Tables'!BB11)))))))))),IF($Y$23="550-575",IF($Y$24="Yes",'Data Tables'!AW11,'Data Tables'!AX11),IF($Y$23="575-600",IF($Y$24="Yes",'Data Tables'!AW11,'Data Tables'!AX11),IF($Y$23="600-625",IF($Y$24="Yes",'Data Tables'!AW11,'Data Tables'!AX11),IF($Y$23="625-650",IF($Y$24="Yes",'Data Tables'!AW11,'Data Tables'!AX11),IF($Y$23="650-675",IF($Y$24="Yes",'Data Tables'!AW11,'Data Tables'!AX11),IF($Y$23="675-700",IF($Y$24="Yes",'Data Tables'!AW11,'Data Tables'!AX11),IF($Y$23="700-750",IF($Y$24="Yes",'Data Tables'!BC11,'Data Tables'!BD11),IF($Y$23="750-800",IF($Y$24="Yes",'Data Tables'!BC11,'Data Tables'!BD11),IF($Y$23="800-850",IF($Y$24="Yes",'Data Tables'!BC11,'Data Tables'!BD11),IF($Y$24="Yes",'Data Tables'!BC11,'Data Tables'!BD11))))))))))))),IF($Y$21="Yare",(IF($Y$22="Freely draining",IF($Y$23="550-575",IF($Y$24="Yes",'Data Tables'!AS22,'Data Tables'!AT22),IF($Y$23="575-600",IF($Y$24="Yes",'Data Tables'!AS22,'Data Tables'!AT22),IF($Y$23="600-625",IF($Y$24="Yes",'Data Tables'!AS22,'Data Tables'!AT22),IF($Y$23="625-650",IF($Y$24="Yes",'Data Tables'!AS22,'Data Tables'!AT22),IF($Y$23="650-675",IF($Y$24="Yes",'Data Tables'!AS22,'Data Tables'!AT22),IF($Y$23="675-700",IF($Y$24="Yes",'Data Tables'!AS22,'Data Tables'!AT22),IF($Y$23="700-750",IF($Y$24="Yes",'Data Tables'!AY22,'Data Tables'!AZ22),IF($Y$23="750-800",IF($Y$24="Yes",'Data Tables'!AY22,'Data Tables'!AZ22),IF($Y$23="800-850",IF($Y$24="Yes",'Data Tables'!AY22,'Data Tables'!AZ22),IF($Y$24="Yes",'Data Tables'!AY22,'Data Tables'!AZ22)))))))))),IF($Y$22="Impermeable - drained for arable",IF($Y$23="550-575",IF($Y$24="Yes",'Data Tables'!AU22,'Data Tables'!AV22),IF($Y$23="575-600",IF($Y$24="Yes",'Data Tables'!AU22,'Data Tables'!AV22),IF($Y$23="600-625",IF($Y$24="Yes",'Data Tables'!AU22,'Data Tables'!AV22),IF($Y$23="625-650",IF($Y$24="Yes",'Data Tables'!AU22,'Data Tables'!AV22),IF($Y$23="650-675",IF($Y$24="Yes",'Data Tables'!AU22,'Data Tables'!AV22),IF($Y$23="675-700",IF($Y$24="Yes",'Data Tables'!AU22,'Data Tables'!AV22),IF($Y$23="700-750",IF($Y$24="Yes",'Data Tables'!BA22,'Data Tables'!BB22),IF($Y$23="750-800",IF($Y$24="Yes",'Data Tables'!BA22,'Data Tables'!BB22),IF($Y$23="800-850",IF($Y$24="Yes",'Data Tables'!BA22,'Data Tables'!BB22),IF($Y$24="Yes",'Data Tables'!BA22,'Data Tables'!BB22)))))))))),IF($Y$23="550-575",IF($Y$24="Yes",'Data Tables'!AW22,'Data Tables'!AX22),IF($Y$23="575-600",IF($Y$24="Yes",'Data Tables'!AW22,'Data Tables'!AX22),IF($Y$23="600-625",IF($Y$24="Yes",'Data Tables'!AW22,'Data Tables'!AX22),IF($Y$23="625-650",IF($Y$24="Yes",'Data Tables'!AW22,'Data Tables'!AX22),IF($Y$23="650-675",IF($Y$24="Yes",'Data Tables'!AW22,'Data Tables'!AX22),IF($Y$23="675-700",IF($Y$24="Yes",'Data Tables'!AW22,'Data Tables'!AX22),IF($Y$23="700-750",IF($Y$24="Yes",'Data Tables'!BC22,'Data Tables'!BD22),IF($Y$23="750-800",IF($Y$24="Yes",'Data Tables'!BC22,'Data Tables'!BD22),IF($Y$23="800-850",IF($Y$24="Yes",'Data Tables'!BC22,'Data Tables'!BD22),IF($Y$24="Yes",'Data Tables'!BC22,'Data Tables'!BD22))))))))))))),(IF($Y$22="Freely draining",IF($Y$23="550-575",IF($Y$24="Yes",'Data Tables'!AM33,'Data Tables'!AN33),IF($Y$23="575-600",IF($Y$24="Yes",'Data Tables'!AM33,'Data Tables'!AN33),IF($Y$23="600-625",IF($Y$24="Yes",'Data Tables'!AS33,'Data Tables'!AT33),IF($Y$23="625-650",IF($Y$24="Yes",'Data Tables'!AS33,'Data Tables'!AT33),IF($Y$23="650-675",IF($Y$24="Yes",'Data Tables'!AS33,'Data Tables'!AT33),IF($Y$23="675-700",IF($Y$24="Yes",'Data Tables'!AS33,'Data Tables'!AT33),IF($Y$23="700-750",IF($Y$24="Yes",'Data Tables'!AY33,'Data Tables'!AZ33),IF($Y$23="750-800",IF($Y$24="Yes",'Data Tables'!AY33,'Data Tables'!AZ33),IF($Y$23="800-850",IF($Y$24="Yes",'Data Tables'!AY33,'Data Tables'!AZ33),IF($Y$24="Yes",'Data Tables'!AY33,'Data Tables'!AZ33)))))))))),IF($Y$22="Impermeable - drained for arable",IF($Y$23="550-575",IF($Y$24="Yes",'Data Tables'!AO33,'Data Tables'!AP33),IF($Y$23="575-600",IF($Y$24="Yes",'Data Tables'!AO33,'Data Tables'!AP33),IF($Y$23="600-625",IF($Y$24="Yes",'Data Tables'!AU33,'Data Tables'!AV33),IF($Y$23="625-650",IF($Y$24="Yes",'Data Tables'!AU33,'Data Tables'!AV33),IF($Y$23="650-675",IF($Y$24="Yes",'Data Tables'!AU33,'Data Tables'!AV33),IF($Y$23="675-700",IF($Y$24="Yes",'Data Tables'!AU33,'Data Tables'!AV33),IF($Y$23="700-750",IF($Y$24="Yes",'Data Tables'!BA33,'Data Tables'!BB33),IF($Y$23="750-800",IF($Y$24="Yes",'Data Tables'!BA33,'Data Tables'!BB33),IF($Y$23="800-850",IF($Y$24="Yes",'Data Tables'!BA33,'Data Tables'!BB33),IF($Y$24="Yes",'Data Tables'!BA33,'Data Tables'!BB33)))))))))),IF($Y$23="550-575",IF($Y$24="Yes",'Data Tables'!AQ33,'Data Tables'!AR33),IF($Y$23="575-600",IF($Y$24="Yes",'Data Tables'!AQ33,'Data Tables'!AR33),IF($Y$23="600-625",IF($Y$24="Yes",'Data Tables'!AW33,'Data Tables'!AX33),IF($Y$23="625-650",IF($Y$24="Yes",'Data Tables'!AW33,'Data Tables'!AX33),IF($Y$23="650-675",IF($Y$24="Yes",'Data Tables'!AW33,'Data Tables'!AX33),IF($Y$23="675-700",IF($Y$24="Yes",'Data Tables'!AW33,'Data Tables'!AX33),IF($Y$23="700-750",IF($Y$24="Yes",'Data Tables'!BC33,'Data Tables'!BD33),IF($Y$23="750-800",IF($Y$24="Yes",'Data Tables'!BC33,'Data Tables'!BD33),IF($Y$23="800-850",IF($Y$24="Yes",'Data Tables'!BC33,'Data Tables'!BD33),IF($Y$24="Yes",'Data Tables'!BC33,'Data Tables'!BD33))))))))))))))),0),"")</f>
        <v/>
      </c>
      <c r="AC38" s="306"/>
      <c r="AF38" s="92"/>
      <c r="AG38" s="92"/>
      <c r="AH38" s="92"/>
      <c r="AI38" s="92"/>
      <c r="AJ38" s="92"/>
      <c r="AK38" s="92"/>
      <c r="AL38" s="92"/>
      <c r="AM38" s="92"/>
      <c r="AN38" s="92"/>
      <c r="AO38" s="92"/>
      <c r="AP38" s="92"/>
      <c r="AQ38" s="92"/>
      <c r="AR38" s="92"/>
      <c r="AT38" s="92"/>
      <c r="AU38" s="92"/>
      <c r="AV38" s="92"/>
      <c r="AW38" s="92"/>
      <c r="AX38" s="92"/>
      <c r="AY38" s="92"/>
      <c r="AZ38" s="92"/>
      <c r="BA38" s="92"/>
    </row>
    <row r="39" spans="2:53" ht="16.2" customHeight="1">
      <c r="B39" s="46"/>
      <c r="C39" s="42"/>
      <c r="D39" s="222"/>
      <c r="E39" s="140" t="str">
        <f>'Stage 2'!F34</f>
        <v>General arable</v>
      </c>
      <c r="F39" s="140"/>
      <c r="G39" s="140"/>
      <c r="H39" s="140"/>
      <c r="I39" s="140"/>
      <c r="J39" s="49"/>
      <c r="K39" s="308" t="str">
        <f>IF('Stage 2'!$K34&gt;0,'Stage 2'!O34/'Stage 2'!$K34,"")</f>
        <v/>
      </c>
      <c r="L39" s="225"/>
      <c r="M39" s="267" t="str">
        <f>IF('Stage 2'!$K34&gt;0,'Stage 2'!Q34/'Stage 2'!$K34,"")</f>
        <v/>
      </c>
      <c r="N39" s="233" t="s">
        <v>269</v>
      </c>
      <c r="O39" s="235" t="s">
        <v>413</v>
      </c>
      <c r="P39" s="252"/>
      <c r="Q39" s="49"/>
      <c r="R39" s="49"/>
      <c r="S39" s="49"/>
      <c r="T39" s="140" t="str">
        <f>E39</f>
        <v>General arable</v>
      </c>
      <c r="U39" s="140"/>
      <c r="V39" s="140"/>
      <c r="W39" s="140"/>
      <c r="X39" s="140"/>
      <c r="Y39" s="233" t="s">
        <v>269</v>
      </c>
      <c r="Z39" s="49"/>
      <c r="AA39" s="279"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279" t="str">
        <f>IF($Y$16="Yes",IF($Y39="Yes",IF($Y$21="Wensum",(IF($Y$22="Freely draining",IF($Y$23="550-575",IF($Y$24="Yes",'Data Tables'!AS12,'Data Tables'!AT12),IF($Y$23="575-600",IF($Y$24="Yes",'Data Tables'!AS12,'Data Tables'!AT12),IF($Y$23="600-625",IF($Y$24="Yes",'Data Tables'!AS12,'Data Tables'!AT12),IF($Y$23="625-650",IF($Y$24="Yes",'Data Tables'!AS12,'Data Tables'!AT12),IF($Y$23="650-675",IF($Y$24="Yes",'Data Tables'!AS12,'Data Tables'!AT12),IF($Y$23="675-700",IF($Y$24="Yes",'Data Tables'!AS12,'Data Tables'!AT12),IF($Y$23="700-750",IF($Y$24="Yes",'Data Tables'!AY12,'Data Tables'!AZ12),IF($Y$23="750-800",IF($Y$24="Yes",'Data Tables'!AY12,'Data Tables'!AZ12),IF($Y$23="800-850",IF($Y$24="Yes",'Data Tables'!AY12,'Data Tables'!AZ12),IF($Y$24="Yes",'Data Tables'!AY12,'Data Tables'!AZ12)))))))))),IF($Y$22="Impermeable - drained for arable",IF($Y$23="550-575",IF($Y$24="Yes",'Data Tables'!AU12,'Data Tables'!AV12),IF($Y$23="575-600",IF($Y$24="Yes",'Data Tables'!AU12,'Data Tables'!AV12),IF($Y$23="600-625",IF($Y$24="Yes",'Data Tables'!AU12,'Data Tables'!AV12),IF($Y$23="625-650",IF($Y$24="Yes",'Data Tables'!AU12,'Data Tables'!AV12),IF($Y$23="650-675",IF($Y$24="Yes",'Data Tables'!AU12,'Data Tables'!AV12),IF($Y$23="675-700",IF($Y$24="Yes",'Data Tables'!AU12,'Data Tables'!AV12),IF($Y$23="700-750",IF($Y$24="Yes",'Data Tables'!BA12,'Data Tables'!BB12),IF($Y$23="750-800",IF($Y$24="Yes",'Data Tables'!BA12,'Data Tables'!BB12),IF($Y$23="800-850",IF($Y$24="Yes",'Data Tables'!BA12,'Data Tables'!BB12),IF($Y$24="Yes",'Data Tables'!BA12,'Data Tables'!BB12)))))))))),IF($Y$23="550-575",IF($Y$24="Yes",'Data Tables'!AW12,'Data Tables'!AX12),IF($Y$23="575-600",IF($Y$24="Yes",'Data Tables'!AW12,'Data Tables'!AX12),IF($Y$23="600-625",IF($Y$24="Yes",'Data Tables'!AW12,'Data Tables'!AX12),IF($Y$23="625-650",IF($Y$24="Yes",'Data Tables'!AW12,'Data Tables'!AX12),IF($Y$23="650-675",IF($Y$24="Yes",'Data Tables'!AW12,'Data Tables'!AX12),IF($Y$23="675-700",IF($Y$24="Yes",'Data Tables'!AW12,'Data Tables'!AX12),IF($Y$23="700-750",IF($Y$24="Yes",'Data Tables'!BC12,'Data Tables'!BD12),IF($Y$23="750-800",IF($Y$24="Yes",'Data Tables'!BC12,'Data Tables'!BD12),IF($Y$23="800-850",IF($Y$24="Yes",'Data Tables'!BC12,'Data Tables'!BD12),IF($Y$24="Yes",'Data Tables'!BC12,'Data Tables'!BD12))))))))))))),IF($Y$21="Yare",(IF($Y$22="Freely draining",IF($Y$23="550-575",IF($Y$24="Yes",'Data Tables'!AS23,'Data Tables'!AT23),IF($Y$23="575-600",IF($Y$24="Yes",'Data Tables'!AS23,'Data Tables'!AT23),IF($Y$23="600-625",IF($Y$24="Yes",'Data Tables'!AS23,'Data Tables'!AT23),IF($Y$23="625-650",IF($Y$24="Yes",'Data Tables'!AS23,'Data Tables'!AT23),IF($Y$23="650-675",IF($Y$24="Yes",'Data Tables'!AS23,'Data Tables'!AT23),IF($Y$23="675-700",IF($Y$24="Yes",'Data Tables'!AS23,'Data Tables'!AT23),IF($Y$23="700-750",IF($Y$24="Yes",'Data Tables'!AY23,'Data Tables'!AZ23),IF($Y$23="750-800",IF($Y$24="Yes",'Data Tables'!AY23,'Data Tables'!AZ23),IF($Y$23="800-850",IF($Y$24="Yes",'Data Tables'!AY23,'Data Tables'!AZ23),IF($Y$24="Yes",'Data Tables'!AY23,'Data Tables'!AZ23)))))))))),IF($Y$22="Impermeable - drained for arable",IF($Y$23="550-575",IF($Y$24="Yes",'Data Tables'!AU23,'Data Tables'!AV23),IF($Y$23="575-600",IF($Y$24="Yes",'Data Tables'!AU23,'Data Tables'!AV23),IF($Y$23="600-625",IF($Y$24="Yes",'Data Tables'!AU23,'Data Tables'!AV23),IF($Y$23="625-650",IF($Y$24="Yes",'Data Tables'!AU23,'Data Tables'!AV23),IF($Y$23="650-675",IF($Y$24="Yes",'Data Tables'!AU23,'Data Tables'!AV23),IF($Y$23="675-700",IF($Y$24="Yes",'Data Tables'!AU23,'Data Tables'!AV23),IF($Y$23="700-750",IF($Y$24="Yes",'Data Tables'!BA23,'Data Tables'!BB23),IF($Y$23="750-800",IF($Y$24="Yes",'Data Tables'!BA23,'Data Tables'!BB23),IF($Y$23="800-850",IF($Y$24="Yes",'Data Tables'!BA23,'Data Tables'!BB23),IF($Y$24="Yes",'Data Tables'!BA23,'Data Tables'!BB23)))))))))),IF($Y$23="550-575",IF($Y$24="Yes",'Data Tables'!AW23,'Data Tables'!AX23),IF($Y$23="575-600",IF($Y$24="Yes",'Data Tables'!AW23,'Data Tables'!AX23),IF($Y$23="600-625",IF($Y$24="Yes",'Data Tables'!AW23,'Data Tables'!AX23),IF($Y$23="625-650",IF($Y$24="Yes",'Data Tables'!AW23,'Data Tables'!AX23),IF($Y$23="650-675",IF($Y$24="Yes",'Data Tables'!AW23,'Data Tables'!AX23),IF($Y$23="675-700",IF($Y$24="Yes",'Data Tables'!AW23,'Data Tables'!AX23),IF($Y$23="700-750",IF($Y$24="Yes",'Data Tables'!BC23,'Data Tables'!BD23),IF($Y$23="750-800",IF($Y$24="Yes",'Data Tables'!BC23,'Data Tables'!BD23),IF($Y$23="800-850",IF($Y$24="Yes",'Data Tables'!BC23,'Data Tables'!BD23),IF($Y$24="Yes",'Data Tables'!BC23,'Data Tables'!BD23))))))))))))),(IF($Y$22="Freely draining",IF($Y$23="550-575",IF($Y$24="Yes",'Data Tables'!AM34,'Data Tables'!AN34),IF($Y$23="575-600",IF($Y$24="Yes",'Data Tables'!AM34,'Data Tables'!AN34),IF($Y$23="600-625",IF($Y$24="Yes",'Data Tables'!AS34,'Data Tables'!AT34),IF($Y$23="625-650",IF($Y$24="Yes",'Data Tables'!AS34,'Data Tables'!AT34),IF($Y$23="650-675",IF($Y$24="Yes",'Data Tables'!AS34,'Data Tables'!AT34),IF($Y$23="675-700",IF($Y$24="Yes",'Data Tables'!AS34,'Data Tables'!AT34),IF($Y$23="700-750",IF($Y$24="Yes",'Data Tables'!AY34,'Data Tables'!AZ34),IF($Y$23="750-800",IF($Y$24="Yes",'Data Tables'!AY34,'Data Tables'!AZ34),IF($Y$23="800-850",IF($Y$24="Yes",'Data Tables'!AY34,'Data Tables'!AZ34),IF($Y$24="Yes",'Data Tables'!AY34,'Data Tables'!AZ34)))))))))),IF($Y$22="Impermeable - drained for arable",IF($Y$23="550-575",IF($Y$24="Yes",'Data Tables'!AO34,'Data Tables'!AP34),IF($Y$23="575-600",IF($Y$24="Yes",'Data Tables'!AO34,'Data Tables'!AP34),IF($Y$23="600-625",IF($Y$24="Yes",'Data Tables'!AU34,'Data Tables'!AV34),IF($Y$23="625-650",IF($Y$24="Yes",'Data Tables'!AU34,'Data Tables'!AV34),IF($Y$23="650-675",IF($Y$24="Yes",'Data Tables'!AU34,'Data Tables'!AV34),IF($Y$23="675-700",IF($Y$24="Yes",'Data Tables'!AU34,'Data Tables'!AV34),IF($Y$23="700-750",IF($Y$24="Yes",'Data Tables'!BA34,'Data Tables'!BB34),IF($Y$23="750-800",IF($Y$24="Yes",'Data Tables'!BA34,'Data Tables'!BB34),IF($Y$23="800-850",IF($Y$24="Yes",'Data Tables'!BA34,'Data Tables'!BB34),IF($Y$24="Yes",'Data Tables'!BA34,'Data Tables'!BB34)))))))))),IF($Y$23="550-575",IF($Y$24="Yes",'Data Tables'!AQ34,'Data Tables'!AR34),IF($Y$23="575-600",IF($Y$24="Yes",'Data Tables'!AQ34,'Data Tables'!AR34),IF($Y$23="600-625",IF($Y$24="Yes",'Data Tables'!AW34,'Data Tables'!AX34),IF($Y$23="625-650",IF($Y$24="Yes",'Data Tables'!AW34,'Data Tables'!AX34),IF($Y$23="650-675",IF($Y$24="Yes",'Data Tables'!AW34,'Data Tables'!AX34),IF($Y$23="675-700",IF($Y$24="Yes",'Data Tables'!AW34,'Data Tables'!AX34),IF($Y$23="700-750",IF($Y$24="Yes",'Data Tables'!BC34,'Data Tables'!BD34),IF($Y$23="750-800",IF($Y$24="Yes",'Data Tables'!BC34,'Data Tables'!BD34),IF($Y$23="800-850",IF($Y$24="Yes",'Data Tables'!BC34,'Data Tables'!BD34),IF($Y$24="Yes",'Data Tables'!BC34,'Data Tables'!BD34))))))))))))))),0),"")</f>
        <v/>
      </c>
      <c r="AC39" s="306"/>
      <c r="AF39" s="345"/>
      <c r="AG39" s="92"/>
      <c r="AH39" s="92"/>
      <c r="AI39" s="92"/>
      <c r="AJ39" s="92"/>
      <c r="AK39" s="92"/>
      <c r="AL39" s="92"/>
      <c r="AM39" s="92"/>
      <c r="AN39" s="92"/>
      <c r="AO39" s="92"/>
      <c r="AP39" s="92"/>
      <c r="AQ39" s="92"/>
      <c r="AR39" s="92"/>
      <c r="AT39" s="92"/>
      <c r="AU39" s="92"/>
      <c r="AV39" s="92"/>
      <c r="AW39" s="92"/>
      <c r="AX39" s="92"/>
      <c r="AY39" s="92"/>
      <c r="AZ39" s="92"/>
      <c r="BA39" s="92"/>
    </row>
    <row r="40" spans="2:29" ht="16.2" customHeight="1">
      <c r="B40" s="46"/>
      <c r="C40" s="42"/>
      <c r="D40" s="222"/>
      <c r="E40" s="140" t="str">
        <f>'Stage 2'!F35</f>
        <v>Allotments and city farms</v>
      </c>
      <c r="F40" s="140"/>
      <c r="G40" s="140"/>
      <c r="H40" s="140"/>
      <c r="I40" s="140"/>
      <c r="J40" s="49"/>
      <c r="K40" s="284" t="str">
        <f>IF('Stage 2'!K35&gt;0,'Data Tables'!O3,"")</f>
        <v/>
      </c>
      <c r="L40" s="263"/>
      <c r="M40" s="267"/>
      <c r="N40" s="233" t="s">
        <v>269</v>
      </c>
      <c r="O40" s="235" t="s">
        <v>413</v>
      </c>
      <c r="P40" s="252"/>
      <c r="Q40" s="49"/>
      <c r="R40" s="49"/>
      <c r="S40" s="49"/>
      <c r="T40" s="140" t="str">
        <f>E40</f>
        <v>Allotments and city farms</v>
      </c>
      <c r="U40" s="140"/>
      <c r="V40" s="140"/>
      <c r="W40" s="140"/>
      <c r="X40" s="140"/>
      <c r="Y40" s="233" t="s">
        <v>269</v>
      </c>
      <c r="Z40" s="49"/>
      <c r="AA40" s="279" t="str">
        <f>IF($Y$16="Yes",IF($Y40="Yes",IF($Y$21="Wensum",(IF($Y$22="Freely draining",IF($Y$23="550-575",IF($Y$24="Yes",'Data Tables'!Y13,'Data Tables'!Z13),IF($Y$23="575-600",IF($Y$24="Yes",'Data Tables'!Y13,'Data Tables'!Z13),IF($Y$23="600-625",IF($Y$24="Yes",'Data Tables'!Y13,'Data Tables'!Z13),IF($Y$23="625-650",IF($Y$24="Yes",'Data Tables'!Y13,'Data Tables'!Z13),IF($Y$23="650-675",IF($Y$24="Yes",'Data Tables'!Y13,'Data Tables'!Z13),IF($Y$23="675-700",IF($Y$24="Yes",'Data Tables'!Y13,'Data Tables'!Z13),IF($Y$23="700-750",IF($Y$24="Yes",'Data Tables'!AE13,'Data Tables'!AF13),IF($Y$23="750-800",IF($Y$24="Yes",'Data Tables'!AE13,'Data Tables'!AF13),IF($Y$23="800-850",IF($Y$24="Yes",'Data Tables'!AE13,'Data Tables'!AF13),IF($Y$24="Yes",'Data Tables'!AE13,'Data Tables'!AF13)))))))))),IF($Y$22="Impermeable - drained for arable",IF($Y$23="550-575",IF($Y$24="Yes",'Data Tables'!AA13,'Data Tables'!AB13),IF($Y$23="575-600",IF($Y$24="Yes",'Data Tables'!AA13,'Data Tables'!AB13),IF($Y$23="600-625",IF($Y$24="Yes",'Data Tables'!AA13,'Data Tables'!AB13),IF($Y$23="625-650",IF($Y$24="Yes",'Data Tables'!AA13,'Data Tables'!AB13),IF($Y$23="650-675",IF($Y$24="Yes",'Data Tables'!AA13,'Data Tables'!AB13),IF($Y$23="675-700",IF($Y$24="Yes",'Data Tables'!AA13,'Data Tables'!AB13),IF($Y$23="700-750",IF($Y$24="Yes",'Data Tables'!AG13,'Data Tables'!AH13),IF($Y$23="750-800",IF($Y$24="Yes",'Data Tables'!AG13,'Data Tables'!AH13),IF($Y$23="800-850",IF($Y$24="Yes",'Data Tables'!AG13,'Data Tables'!AH13),IF($Y$24="Yes",'Data Tables'!AG13,'Data Tables'!AH13)))))))))),IF($Y$23="550-575",IF($Y$24="Yes",'Data Tables'!AC13,'Data Tables'!AD13),IF($Y$23="575-600",IF($Y$24="Yes",'Data Tables'!AC13,'Data Tables'!AD13),IF($Y$23="600-625",IF($Y$24="Yes",'Data Tables'!AC13,'Data Tables'!AD13),IF($Y$23="625-650",IF($Y$24="Yes",'Data Tables'!AC13,'Data Tables'!AD13),IF($Y$23="650-675",IF($Y$24="Yes",'Data Tables'!AC13,'Data Tables'!AD13),IF($Y$23="675-700",IF($Y$24="Yes",'Data Tables'!AC13,'Data Tables'!AD13),IF($Y$23="700-750",IF($Y$24="Yes",'Data Tables'!AI13,'Data Tables'!AJ13),IF($Y$23="750-800",IF($Y$24="Yes",'Data Tables'!AI13,'Data Tables'!AJ13),IF($Y$23="800-850",IF($Y$24="Yes",'Data Tables'!AI13,'Data Tables'!AJ13),IF($Y$24="Yes",'Data Tables'!AI13,'Data Tables'!AJ13))))))))))))),IF($Y$21="Yare",(IF($Y$22="Freely draining",IF($Y$23="550-575",IF($Y$24="Yes",'Data Tables'!Y24,'Data Tables'!Z24),IF($Y$23="575-600",IF($Y$24="Yes",'Data Tables'!Y24,'Data Tables'!Z24),IF($Y$23="600-625",IF($Y$24="Yes",'Data Tables'!Y24,'Data Tables'!Z24),IF($Y$23="625-650",IF($Y$24="Yes",'Data Tables'!Y24,'Data Tables'!Z24),IF($Y$23="650-675",IF($Y$24="Yes",'Data Tables'!Y24,'Data Tables'!Z24),IF($Y$23="675-700",IF($Y$24="Yes",'Data Tables'!Y24,'Data Tables'!Z24),IF($Y$23="700-750",IF($Y$24="Yes",'Data Tables'!AE24,'Data Tables'!AF24),IF($Y$23="750-800",IF($Y$24="Yes",'Data Tables'!AE24,'Data Tables'!AF24),IF($Y$23="800-850",IF($Y$24="Yes",'Data Tables'!AE24,'Data Tables'!AF24),IF($Y$24="Yes",'Data Tables'!AE24,'Data Tables'!AF24)))))))))),IF($Y$22="Impermeable - drained for arable",IF($Y$23="550-575",IF($Y$24="Yes",'Data Tables'!AA24,'Data Tables'!AB24),IF($Y$23="575-600",IF($Y$24="Yes",'Data Tables'!AA24,'Data Tables'!AB24),IF($Y$23="600-625",IF($Y$24="Yes",'Data Tables'!AA24,'Data Tables'!AB24),IF($Y$23="625-650",IF($Y$24="Yes",'Data Tables'!AA24,'Data Tables'!AB24),IF($Y$23="650-675",IF($Y$24="Yes",'Data Tables'!AA24,'Data Tables'!AB24),IF($Y$23="675-700",IF($Y$24="Yes",'Data Tables'!AA24,'Data Tables'!AB24),IF($Y$23="700-750",IF($Y$24="Yes",'Data Tables'!AG24,'Data Tables'!AH24),IF($Y$23="750-800",IF($Y$24="Yes",'Data Tables'!AG24,'Data Tables'!AH24),IF($Y$23="800-850",IF($Y$24="Yes",'Data Tables'!AG24,'Data Tables'!AH24),IF($Y$24="Yes",'Data Tables'!AG24,'Data Tables'!AH24)))))))))),IF($Y$23="550-575",IF($Y$24="Yes",'Data Tables'!AC24,'Data Tables'!AD24),IF($Y$23="575-600",IF($Y$24="Yes",'Data Tables'!AC24,'Data Tables'!AD24),IF($Y$23="600-625",IF($Y$24="Yes",'Data Tables'!AC24,'Data Tables'!AD24),IF($Y$23="625-650",IF($Y$24="Yes",'Data Tables'!AC24,'Data Tables'!AD24),IF($Y$23="650-675",IF($Y$24="Yes",'Data Tables'!AC24,'Data Tables'!AD24),IF($Y$23="675-700",IF($Y$24="Yes",'Data Tables'!AC24,'Data Tables'!AD24),IF($Y$23="700-750",IF($Y$24="Yes",'Data Tables'!AI24,'Data Tables'!AJ24),IF($Y$23="750-800",IF($Y$24="Yes",'Data Tables'!AI24,'Data Tables'!AJ24),IF($Y$23="800-850",IF($Y$24="Yes",'Data Tables'!AI24,'Data Tables'!AJ24),IF($Y$24="Yes",'Data Tables'!AI24,'Data Tables'!AJ24))))))))))))),(IF($Y$22="Freely draining",IF($Y$23="550-575",IF($Y$24="Yes",'Data Tables'!S35,'Data Tables'!T35),IF($Y$23="575-600",IF($Y$24="Yes",'Data Tables'!S35,'Data Tables'!T35),IF($Y$23="600-625",IF($Y$24="Yes",'Data Tables'!Y35,'Data Tables'!Z35),IF($Y$23="625-650",IF($Y$24="Yes",'Data Tables'!Y35,'Data Tables'!Z35),IF($Y$23="650-675",IF($Y$24="Yes",'Data Tables'!Y35,'Data Tables'!Z35),IF($Y$23="675-700",IF($Y$24="Yes",'Data Tables'!Y35,'Data Tables'!Z35),IF($Y$23="700-750",IF($Y$24="Yes",'Data Tables'!AE35,'Data Tables'!AF35),IF($Y$23="750-800",IF($Y$24="Yes",'Data Tables'!AE35,'Data Tables'!AF35),IF($Y$23="800-850",IF($Y$24="Yes",'Data Tables'!AE35,'Data Tables'!AF35),IF($Y$24="Yes",'Data Tables'!AE35,'Data Tables'!AF35)))))))))),IF($Y$22="Impermeable - drained for arable",IF($Y$23="550-575",IF($Y$24="Yes",'Data Tables'!U35,'Data Tables'!V35),IF($Y$23="575-600",IF($Y$24="Yes",'Data Tables'!U35,'Data Tables'!V35),IF($Y$23="600-625",IF($Y$24="Yes",'Data Tables'!AA35,'Data Tables'!AB35),IF($Y$23="625-650",IF($Y$24="Yes",'Data Tables'!AA35,'Data Tables'!AB35),IF($Y$23="650-675",IF($Y$24="Yes",'Data Tables'!AA35,'Data Tables'!AB35),IF($Y$23="675-700",IF($Y$24="Yes",'Data Tables'!AA35,'Data Tables'!AB35),IF($Y$23="700-750",IF($Y$24="Yes",'Data Tables'!AG35,'Data Tables'!AH35),IF($Y$23="750-800",IF($Y$24="Yes",'Data Tables'!AG35,'Data Tables'!AH35),IF($Y$23="800-850",IF($Y$24="Yes",'Data Tables'!AG35,'Data Tables'!AH35),IF($Y$24="Yes",'Data Tables'!AG35,'Data Tables'!AH35)))))))))),IF($Y$23="550-575",IF($Y$24="Yes",'Data Tables'!W35,'Data Tables'!X35),IF($Y$23="575-600",IF($Y$24="Yes",'Data Tables'!W35,'Data Tables'!X35),IF($Y$23="600-625",IF($Y$24="Yes",'Data Tables'!AC35,'Data Tables'!AD35),IF($Y$23="625-650",IF($Y$24="Yes",'Data Tables'!AC35,'Data Tables'!AD35),IF($Y$23="650-675",IF($Y$24="Yes",'Data Tables'!AC35,'Data Tables'!AD35),IF($Y$23="675-700",IF($Y$24="Yes",'Data Tables'!AC35,'Data Tables'!AD35),IF($Y$23="700-750",IF($Y$24="Yes",'Data Tables'!AI35,'Data Tables'!AJ35),IF($Y$23="750-800",IF($Y$24="Yes",'Data Tables'!AI35,'Data Tables'!AJ35),IF($Y$23="800-850",IF($Y$24="Yes",'Data Tables'!AI35,'Data Tables'!AJ35),IF($Y$24="Yes",'Data Tables'!AI35,'Data Tables'!AJ35))))))))))))))),0),"")</f>
        <v/>
      </c>
      <c r="AB40" s="279" t="str">
        <f>IF($Y$16="Yes",IF($Y40="Yes",IF($Y$21="Wensum",(IF($Y$22="Freely draining",IF($Y$23="550-575",IF($Y$24="Yes",'Data Tables'!AS13,'Data Tables'!AT13),IF($Y$23="575-600",IF($Y$24="Yes",'Data Tables'!AS13,'Data Tables'!AT13),IF($Y$23="600-625",IF($Y$24="Yes",'Data Tables'!AS13,'Data Tables'!AT13),IF($Y$23="625-650",IF($Y$24="Yes",'Data Tables'!AS13,'Data Tables'!AT13),IF($Y$23="650-675",IF($Y$24="Yes",'Data Tables'!AS13,'Data Tables'!AT13),IF($Y$23="675-700",IF($Y$24="Yes",'Data Tables'!AS13,'Data Tables'!AT13),IF($Y$23="700-750",IF($Y$24="Yes",'Data Tables'!AY13,'Data Tables'!AZ13),IF($Y$23="750-800",IF($Y$24="Yes",'Data Tables'!AY13,'Data Tables'!AZ13),IF($Y$23="800-850",IF($Y$24="Yes",'Data Tables'!AY13,'Data Tables'!AZ13),IF($Y$24="Yes",'Data Tables'!AY13,'Data Tables'!AZ13)))))))))),IF($Y$22="Impermeable - drained for arable",IF($Y$23="550-575",IF($Y$24="Yes",'Data Tables'!AU13,'Data Tables'!AV13),IF($Y$23="575-600",IF($Y$24="Yes",'Data Tables'!AU13,'Data Tables'!AV13),IF($Y$23="600-625",IF($Y$24="Yes",'Data Tables'!AU13,'Data Tables'!AV13),IF($Y$23="625-650",IF($Y$24="Yes",'Data Tables'!AU13,'Data Tables'!AV13),IF($Y$23="650-675",IF($Y$24="Yes",'Data Tables'!AU13,'Data Tables'!AV13),IF($Y$23="675-700",IF($Y$24="Yes",'Data Tables'!AU13,'Data Tables'!AV13),IF($Y$23="700-750",IF($Y$24="Yes",'Data Tables'!BA13,'Data Tables'!BB13),IF($Y$23="750-800",IF($Y$24="Yes",'Data Tables'!BA13,'Data Tables'!BB13),IF($Y$23="800-850",IF($Y$24="Yes",'Data Tables'!BA13,'Data Tables'!BB13),IF($Y$24="Yes",'Data Tables'!BA13,'Data Tables'!BB13)))))))))),IF($Y$23="550-575",IF($Y$24="Yes",'Data Tables'!AW13,'Data Tables'!AX13),IF($Y$23="575-600",IF($Y$24="Yes",'Data Tables'!AW13,'Data Tables'!AX13),IF($Y$23="600-625",IF($Y$24="Yes",'Data Tables'!AW13,'Data Tables'!AX13),IF($Y$23="625-650",IF($Y$24="Yes",'Data Tables'!AW13,'Data Tables'!AX13),IF($Y$23="650-675",IF($Y$24="Yes",'Data Tables'!AW13,'Data Tables'!AX13),IF($Y$23="675-700",IF($Y$24="Yes",'Data Tables'!AW13,'Data Tables'!AX13),IF($Y$23="700-750",IF($Y$24="Yes",'Data Tables'!BC13,'Data Tables'!BD13),IF($Y$23="750-800",IF($Y$24="Yes",'Data Tables'!BC13,'Data Tables'!BD13),IF($Y$23="800-850",IF($Y$24="Yes",'Data Tables'!BC13,'Data Tables'!BD13),IF($Y$24="Yes",'Data Tables'!BC13,'Data Tables'!BD13))))))))))))),IF($Y$21="Yare",(IF($Y$22="Freely draining",IF($Y$23="550-575",IF($Y$24="Yes",'Data Tables'!AS24,'Data Tables'!AT24),IF($Y$23="575-600",IF($Y$24="Yes",'Data Tables'!AS24,'Data Tables'!AT24),IF($Y$23="600-625",IF($Y$24="Yes",'Data Tables'!AS24,'Data Tables'!AT24),IF($Y$23="625-650",IF($Y$24="Yes",'Data Tables'!AS24,'Data Tables'!AT24),IF($Y$23="650-675",IF($Y$24="Yes",'Data Tables'!AS24,'Data Tables'!AT24),IF($Y$23="675-700",IF($Y$24="Yes",'Data Tables'!AS24,'Data Tables'!AT24),IF($Y$23="700-750",IF($Y$24="Yes",'Data Tables'!AY24,'Data Tables'!AZ24),IF($Y$23="750-800",IF($Y$24="Yes",'Data Tables'!AY24,'Data Tables'!AZ24),IF($Y$23="800-850",IF($Y$24="Yes",'Data Tables'!AY24,'Data Tables'!AZ24),IF($Y$24="Yes",'Data Tables'!AY24,'Data Tables'!AZ24)))))))))),IF($Y$22="Impermeable - drained for arable",IF($Y$23="550-575",IF($Y$24="Yes",'Data Tables'!AU24,'Data Tables'!AV24),IF($Y$23="575-600",IF($Y$24="Yes",'Data Tables'!AU24,'Data Tables'!AV24),IF($Y$23="600-625",IF($Y$24="Yes",'Data Tables'!AU24,'Data Tables'!AV24),IF($Y$23="625-650",IF($Y$24="Yes",'Data Tables'!AU24,'Data Tables'!AV24),IF($Y$23="650-675",IF($Y$24="Yes",'Data Tables'!AU24,'Data Tables'!AV24),IF($Y$23="675-700",IF($Y$24="Yes",'Data Tables'!AU24,'Data Tables'!AV24),IF($Y$23="700-750",IF($Y$24="Yes",'Data Tables'!BA24,'Data Tables'!BB24),IF($Y$23="750-800",IF($Y$24="Yes",'Data Tables'!BA24,'Data Tables'!BB24),IF($Y$23="800-850",IF($Y$24="Yes",'Data Tables'!BA24,'Data Tables'!BB24),IF($Y$24="Yes",'Data Tables'!BA24,'Data Tables'!BB24)))))))))),IF($Y$23="550-575",IF($Y$24="Yes",'Data Tables'!AW24,'Data Tables'!AX24),IF($Y$23="575-600",IF($Y$24="Yes",'Data Tables'!AW24,'Data Tables'!AX24),IF($Y$23="600-625",IF($Y$24="Yes",'Data Tables'!AW24,'Data Tables'!AX24),IF($Y$23="625-650",IF($Y$24="Yes",'Data Tables'!AW24,'Data Tables'!AX24),IF($Y$23="650-675",IF($Y$24="Yes",'Data Tables'!AW24,'Data Tables'!AX24),IF($Y$23="675-700",IF($Y$24="Yes",'Data Tables'!AW24,'Data Tables'!AX24),IF($Y$23="700-750",IF($Y$24="Yes",'Data Tables'!BC24,'Data Tables'!BD24),IF($Y$23="750-800",IF($Y$24="Yes",'Data Tables'!BC24,'Data Tables'!BD24),IF($Y$23="800-850",IF($Y$24="Yes",'Data Tables'!BC24,'Data Tables'!BD24),IF($Y$24="Yes",'Data Tables'!BC24,'Data Tables'!BD24))))))))))))),(IF($Y$22="Freely draining",IF($Y$23="550-575",IF($Y$24="Yes",'Data Tables'!AM35,'Data Tables'!AN35),IF($Y$23="575-600",IF($Y$24="Yes",'Data Tables'!AM35,'Data Tables'!AN35),IF($Y$23="600-625",IF($Y$24="Yes",'Data Tables'!AS35,'Data Tables'!AT35),IF($Y$23="625-650",IF($Y$24="Yes",'Data Tables'!AS35,'Data Tables'!AT35),IF($Y$23="650-675",IF($Y$24="Yes",'Data Tables'!AS35,'Data Tables'!AT35),IF($Y$23="675-700",IF($Y$24="Yes",'Data Tables'!AS35,'Data Tables'!AT35),IF($Y$23="700-750",IF($Y$24="Yes",'Data Tables'!AY35,'Data Tables'!AZ35),IF($Y$23="750-800",IF($Y$24="Yes",'Data Tables'!AY35,'Data Tables'!AZ35),IF($Y$23="800-850",IF($Y$24="Yes",'Data Tables'!AY35,'Data Tables'!AZ35),IF($Y$24="Yes",'Data Tables'!AY35,'Data Tables'!AZ35)))))))))),IF($Y$22="Impermeable - drained for arable",IF($Y$23="550-575",IF($Y$24="Yes",'Data Tables'!AO35,'Data Tables'!AP35),IF($Y$23="575-600",IF($Y$24="Yes",'Data Tables'!AO35,'Data Tables'!AP35),IF($Y$23="600-625",IF($Y$24="Yes",'Data Tables'!AU35,'Data Tables'!AV35),IF($Y$23="625-650",IF($Y$24="Yes",'Data Tables'!AU35,'Data Tables'!AV35),IF($Y$23="650-675",IF($Y$24="Yes",'Data Tables'!AU35,'Data Tables'!AV35),IF($Y$23="675-700",IF($Y$24="Yes",'Data Tables'!AU35,'Data Tables'!AV35),IF($Y$23="700-750",IF($Y$24="Yes",'Data Tables'!BA35,'Data Tables'!BB35),IF($Y$23="750-800",IF($Y$24="Yes",'Data Tables'!BA35,'Data Tables'!BB35),IF($Y$23="800-850",IF($Y$24="Yes",'Data Tables'!BA35,'Data Tables'!BB35),IF($Y$24="Yes",'Data Tables'!BA35,'Data Tables'!BB35)))))))))),IF($Y$23="550-575",IF($Y$24="Yes",'Data Tables'!AQ35,'Data Tables'!AR35),IF($Y$23="575-600",IF($Y$24="Yes",'Data Tables'!AQ35,'Data Tables'!AR35),IF($Y$23="600-625",IF($Y$24="Yes",'Data Tables'!AW35,'Data Tables'!AX35),IF($Y$23="625-650",IF($Y$24="Yes",'Data Tables'!AW35,'Data Tables'!AX35),IF($Y$23="650-675",IF($Y$24="Yes",'Data Tables'!AW35,'Data Tables'!AX35),IF($Y$23="675-700",IF($Y$24="Yes",'Data Tables'!AW35,'Data Tables'!AX35),IF($Y$23="700-750",IF($Y$24="Yes",'Data Tables'!BC35,'Data Tables'!BD35),IF($Y$23="750-800",IF($Y$24="Yes",'Data Tables'!BC35,'Data Tables'!BD35),IF($Y$23="800-850",IF($Y$24="Yes",'Data Tables'!BC35,'Data Tables'!BD35),IF($Y$24="Yes",'Data Tables'!BC35,'Data Tables'!BD35))))))))))))))),0),"")</f>
        <v/>
      </c>
      <c r="AC40" s="306"/>
    </row>
    <row r="41" spans="2:29" ht="16.2" customHeight="1">
      <c r="B41" s="46"/>
      <c r="C41" s="42"/>
      <c r="D41" s="222"/>
      <c r="E41" s="140" t="str">
        <f>'Stage 2'!F36</f>
        <v>Woodland (e.g. conifer, mixed, broad-leaved)</v>
      </c>
      <c r="F41" s="140"/>
      <c r="G41" s="140"/>
      <c r="H41" s="140"/>
      <c r="I41" s="140"/>
      <c r="J41" s="49"/>
      <c r="K41" s="284" t="str">
        <f>IF('Stage 2'!K36&gt;0,'Data Tables'!O5,"")</f>
        <v/>
      </c>
      <c r="L41" s="263"/>
      <c r="M41" s="267"/>
      <c r="N41" s="233" t="s">
        <v>269</v>
      </c>
      <c r="O41" s="235" t="s">
        <v>413</v>
      </c>
      <c r="P41" s="252"/>
      <c r="Q41" s="49"/>
      <c r="R41" s="49"/>
      <c r="S41" s="49"/>
      <c r="T41" s="140" t="str">
        <f>E41</f>
        <v>Woodland (e.g. conifer, mixed, broad-leaved)</v>
      </c>
      <c r="U41" s="140"/>
      <c r="V41" s="140"/>
      <c r="W41" s="140"/>
      <c r="X41" s="140"/>
      <c r="Y41" s="233" t="s">
        <v>269</v>
      </c>
      <c r="Z41" s="49"/>
      <c r="AA41" s="279" t="str">
        <f>IF($Y$16="Yes",(IF(Y41="Yes",'Data Tables'!O5,0)),"")</f>
        <v/>
      </c>
      <c r="AB41" s="279" t="str">
        <f>IF($Y$16="Yes",(IF(Z41="Yes",'Data Tables'!P5,0)),"")</f>
        <v/>
      </c>
      <c r="AC41" s="306"/>
    </row>
    <row r="42" spans="2:29" ht="16.2" customHeight="1">
      <c r="B42" s="46"/>
      <c r="C42" s="42"/>
      <c r="D42" s="222"/>
      <c r="E42" s="140" t="str">
        <f>'Stage 2'!F37</f>
        <v>Greenspace</v>
      </c>
      <c r="F42" s="140"/>
      <c r="G42" s="140"/>
      <c r="H42" s="140"/>
      <c r="I42" s="140"/>
      <c r="J42" s="49"/>
      <c r="K42" s="284" t="str">
        <f>IF('Stage 2'!K37&gt;0,'Data Tables'!O4,"")</f>
        <v/>
      </c>
      <c r="L42" s="263"/>
      <c r="M42" s="267"/>
      <c r="N42" s="233" t="s">
        <v>269</v>
      </c>
      <c r="O42" s="235" t="s">
        <v>413</v>
      </c>
      <c r="P42" s="252"/>
      <c r="Q42" s="49"/>
      <c r="R42" s="49"/>
      <c r="S42" s="49"/>
      <c r="T42" s="140" t="str">
        <f>E42</f>
        <v>Greenspace</v>
      </c>
      <c r="U42" s="140"/>
      <c r="V42" s="140"/>
      <c r="W42" s="140"/>
      <c r="X42" s="140"/>
      <c r="Y42" s="233" t="s">
        <v>269</v>
      </c>
      <c r="Z42" s="49"/>
      <c r="AA42" s="279" t="str">
        <f>IF($Y$16="Yes",(IF(Y42="Yes",'Data Tables'!O4,0)),"")</f>
        <v/>
      </c>
      <c r="AB42" s="279" t="str">
        <f>IF($Y$16="Yes",(IF(Z42="Yes",'Data Tables'!P4,0)),"")</f>
        <v/>
      </c>
      <c r="AC42" s="306"/>
    </row>
    <row r="43" spans="2:29" ht="16.2" customHeight="1">
      <c r="B43" s="46"/>
      <c r="C43" s="42"/>
      <c r="D43" s="222"/>
      <c r="E43" s="140" t="str">
        <f>'Stage 2'!F38</f>
        <v>Shrub / heathland / bracken / bog</v>
      </c>
      <c r="F43" s="140"/>
      <c r="G43" s="140"/>
      <c r="H43" s="140"/>
      <c r="I43" s="140"/>
      <c r="J43" s="49"/>
      <c r="K43" s="284" t="str">
        <f>IF('Stage 2'!K38&gt;0,'Data Tables'!O6,"")</f>
        <v/>
      </c>
      <c r="L43" s="263"/>
      <c r="M43" s="267"/>
      <c r="N43" s="233" t="s">
        <v>269</v>
      </c>
      <c r="O43" s="235" t="s">
        <v>413</v>
      </c>
      <c r="P43" s="252"/>
      <c r="Q43" s="49"/>
      <c r="R43" s="49"/>
      <c r="S43" s="49"/>
      <c r="T43" s="140" t="str">
        <f>E43</f>
        <v>Shrub / heathland / bracken / bog</v>
      </c>
      <c r="U43" s="140"/>
      <c r="V43" s="140"/>
      <c r="W43" s="140"/>
      <c r="X43" s="140"/>
      <c r="Y43" s="233" t="s">
        <v>269</v>
      </c>
      <c r="Z43" s="49"/>
      <c r="AA43" s="279" t="str">
        <f>IF($Y$16="Yes",(IF(Y43="Yes",'Data Tables'!O6,0)),"")</f>
        <v/>
      </c>
      <c r="AB43" s="279" t="str">
        <f>IF($Y$16="Yes",(IF(Z43="Yes",'Data Tables'!P6,0)),"")</f>
        <v/>
      </c>
      <c r="AC43" s="306"/>
    </row>
    <row r="44" spans="2:29" ht="15" customHeight="1">
      <c r="B44" s="46"/>
      <c r="C44" s="42"/>
      <c r="D44" s="222"/>
      <c r="E44" s="140" t="str">
        <f>'Stage 2'!F39</f>
        <v>Water</v>
      </c>
      <c r="F44" s="140"/>
      <c r="G44" s="140"/>
      <c r="H44" s="140"/>
      <c r="I44" s="140"/>
      <c r="J44" s="49"/>
      <c r="K44" s="284" t="str">
        <f>IF('Stage 2'!K39&gt;0,'Data Tables'!O7,"")</f>
        <v/>
      </c>
      <c r="L44" s="263"/>
      <c r="M44" s="267"/>
      <c r="N44" s="233" t="s">
        <v>269</v>
      </c>
      <c r="O44" s="235" t="s">
        <v>413</v>
      </c>
      <c r="P44" s="252"/>
      <c r="Q44" s="49"/>
      <c r="R44" s="49"/>
      <c r="S44" s="49"/>
      <c r="T44" s="140" t="str">
        <f>E44</f>
        <v>Water</v>
      </c>
      <c r="U44" s="140"/>
      <c r="V44" s="140"/>
      <c r="W44" s="140"/>
      <c r="X44" s="140"/>
      <c r="Y44" s="233" t="s">
        <v>269</v>
      </c>
      <c r="Z44" s="49"/>
      <c r="AA44" s="279" t="str">
        <f>IF($Y$16="Yes",(IF(Y44="Yes",'Data Tables'!O7,0)),"")</f>
        <v/>
      </c>
      <c r="AB44" s="279" t="str">
        <f>IF($Y$16="Yes",(IF(Z44="Yes",'Data Tables'!P7,0)),"")</f>
        <v/>
      </c>
      <c r="AC44" s="306"/>
    </row>
    <row r="45" spans="2:29" ht="16.2" customHeight="1">
      <c r="B45" s="46"/>
      <c r="C45" s="42"/>
      <c r="D45" s="222"/>
      <c r="E45" s="49"/>
      <c r="F45" s="38"/>
      <c r="G45" s="49"/>
      <c r="H45" s="49"/>
      <c r="I45" s="49"/>
      <c r="J45" s="49"/>
      <c r="K45" s="263"/>
      <c r="L45" s="263"/>
      <c r="M45" s="263"/>
      <c r="N45" s="49"/>
      <c r="O45" s="241"/>
      <c r="P45" s="252"/>
      <c r="Q45" s="49"/>
      <c r="R45" s="49"/>
      <c r="S45" s="49"/>
      <c r="T45" s="49"/>
      <c r="U45" s="49"/>
      <c r="V45" s="49"/>
      <c r="W45" s="49"/>
      <c r="X45" s="49"/>
      <c r="Y45" s="140" t="s">
        <v>410</v>
      </c>
      <c r="Z45" s="140" t="s">
        <v>411</v>
      </c>
      <c r="AA45" s="49"/>
      <c r="AB45" s="49"/>
      <c r="AC45" s="306"/>
    </row>
    <row r="46" spans="2:29" ht="17.7" customHeight="1">
      <c r="B46" s="46"/>
      <c r="C46" s="42"/>
      <c r="D46" s="222"/>
      <c r="E46" s="275" t="s">
        <v>416</v>
      </c>
      <c r="F46" s="275"/>
      <c r="G46" s="275"/>
      <c r="H46" s="275"/>
      <c r="I46" s="275"/>
      <c r="J46" s="49"/>
      <c r="K46" s="267">
        <f>IF(K16="Yes",(IF(N22="Yes",K22,0)+IF(N27="Yes",K27,0)+IF(N28="Yes",K28,0)+IF(N29="Yes",K29,0)+IF(N30="Yes",K30,0)+IF(N31="Yes",K31,0)+IF(N32="Yes",K32,0)+IF(N33="Yes",K33,0)+IF(N34="Yes",K34,0)+IF(N35="Yes",K35,0)+IF(N36="Yes",K36,0)+IF(N37="Yes",K37,0)+IF(N38="Yes",K38,0)+IF(N39="Yes",K39,0)+IF(N40="Yes",K40,0)+IF(N41="Yes",K41,0)+IF(N42="Yes",K42,0)+IF(N43="Yes",K43,0)+IF(N44="Yes",K44,0))/COUNTIF(N22:N44,"Yes"),0)</f>
        <v>0</v>
      </c>
      <c r="L46" s="263"/>
      <c r="M46" s="267">
        <f>IF(K16="Yes",(IF(N22="Yes",M22,0)+IF(N27="Yes",M27,0)+IF(N28="Yes",M28,0)+IF(N29="Yes",M29,0)+IF(N30="Yes",M30,0)+IF(N31="Yes",M31,0)+IF(N32="Yes",M32,0)+IF(N33="Yes",M33,0)+IF(N34="Yes",M34,0)+IF(N35="Yes",M35,0)+IF(N36="Yes",M36,0)+IF(N37="Yes",M37,0)+IF(N38="Yes",M38,0)+IF(N39="Yes",M39,0)+IF(N40="Yes",M40,0)+IF(N41="Yes",M41,0)+IF(N42="Yes",M42,0)+IF(N43="Yes",M43,0)+IF(N44="Yes",M44,0))/COUNTIF(N22:N44,"Yes"),0)</f>
        <v>0</v>
      </c>
      <c r="N46" s="49"/>
      <c r="O46" s="241"/>
      <c r="P46" s="252"/>
      <c r="Q46" s="49"/>
      <c r="R46" s="49"/>
      <c r="S46" s="49"/>
      <c r="T46" s="275" t="s">
        <v>417</v>
      </c>
      <c r="U46" s="275"/>
      <c r="V46" s="275"/>
      <c r="W46" s="275"/>
      <c r="X46" s="275"/>
      <c r="Y46" s="287">
        <f>IF(Y16="Yes",SUM(AA27:AA44)/(COUNTIF(Y27:Y44,"Yes")),0)</f>
        <v>0</v>
      </c>
      <c r="Z46" s="287">
        <f>IF(Y16="Yes",SUM(AB27:AB44)/(COUNTIF(Y27:Y44,"Yes")),0)</f>
        <v>0</v>
      </c>
      <c r="AA46" s="221"/>
      <c r="AB46" s="221"/>
      <c r="AC46" s="306"/>
    </row>
    <row r="47" spans="2:29" ht="16.2" customHeight="1">
      <c r="B47" s="46"/>
      <c r="C47" s="42"/>
      <c r="D47" s="222"/>
      <c r="E47" s="275"/>
      <c r="F47" s="275"/>
      <c r="G47" s="275"/>
      <c r="H47" s="275"/>
      <c r="I47" s="275"/>
      <c r="J47" s="49"/>
      <c r="K47" s="263"/>
      <c r="L47" s="263"/>
      <c r="M47" s="263"/>
      <c r="N47" s="49"/>
      <c r="O47" s="241"/>
      <c r="P47" s="49"/>
      <c r="Q47" s="49"/>
      <c r="R47" s="49"/>
      <c r="S47" s="49"/>
      <c r="T47" s="275"/>
      <c r="U47" s="275"/>
      <c r="V47" s="275"/>
      <c r="W47" s="275"/>
      <c r="X47" s="275"/>
      <c r="Y47" s="309"/>
      <c r="Z47" s="49"/>
      <c r="AA47" s="309"/>
      <c r="AB47" s="309"/>
      <c r="AC47" s="306"/>
    </row>
    <row r="48" spans="2:29" ht="16.2" customHeight="1">
      <c r="B48" s="46"/>
      <c r="C48" s="42"/>
      <c r="D48" s="222"/>
      <c r="E48" s="49"/>
      <c r="F48" s="38"/>
      <c r="G48" s="49"/>
      <c r="H48" s="49"/>
      <c r="I48" s="49"/>
      <c r="J48" s="49"/>
      <c r="K48" s="263"/>
      <c r="L48" s="263"/>
      <c r="M48" s="263"/>
      <c r="N48" s="49"/>
      <c r="O48" s="241"/>
      <c r="P48" s="140" t="s">
        <v>410</v>
      </c>
      <c r="Q48" s="140"/>
      <c r="R48" s="140" t="s">
        <v>411</v>
      </c>
      <c r="S48" s="49"/>
      <c r="T48" s="49"/>
      <c r="U48" s="49"/>
      <c r="V48" s="49"/>
      <c r="W48" s="49"/>
      <c r="X48" s="49"/>
      <c r="Y48" s="49"/>
      <c r="Z48" s="49"/>
      <c r="AA48" s="49"/>
      <c r="AB48" s="49"/>
      <c r="AC48" s="306"/>
    </row>
    <row r="49" spans="2:29" ht="16.2" customHeight="1">
      <c r="B49" s="46"/>
      <c r="C49" s="42"/>
      <c r="D49" s="222"/>
      <c r="E49" s="49"/>
      <c r="F49" s="38"/>
      <c r="G49" s="49"/>
      <c r="H49" s="49"/>
      <c r="I49" s="275" t="s">
        <v>418</v>
      </c>
      <c r="J49" s="275"/>
      <c r="K49" s="275"/>
      <c r="L49" s="275"/>
      <c r="M49" s="275"/>
      <c r="N49" s="275"/>
      <c r="O49" s="275"/>
      <c r="P49" s="267" t="str">
        <f>IF(K46+Y46&gt;0,K46+Y46,"")</f>
        <v/>
      </c>
      <c r="Q49" s="263"/>
      <c r="R49" s="267" t="str">
        <f>IF(M46+Z46&gt;0,M46+Z46,"")</f>
        <v/>
      </c>
      <c r="S49" s="309"/>
      <c r="T49" s="49"/>
      <c r="U49" s="49"/>
      <c r="V49" s="49"/>
      <c r="W49" s="49"/>
      <c r="X49" s="49"/>
      <c r="Y49" s="49"/>
      <c r="Z49" s="49"/>
      <c r="AA49" s="49"/>
      <c r="AB49" s="49"/>
      <c r="AC49" s="306"/>
    </row>
    <row r="50" spans="2:29" ht="16.2" customHeight="1" thickBot="1">
      <c r="B50" s="46"/>
      <c r="C50" s="42"/>
      <c r="D50" s="310"/>
      <c r="E50" s="242"/>
      <c r="F50" s="242"/>
      <c r="G50" s="242"/>
      <c r="H50" s="242"/>
      <c r="I50" s="242"/>
      <c r="J50" s="242"/>
      <c r="K50" s="242"/>
      <c r="L50" s="242"/>
      <c r="M50" s="242"/>
      <c r="N50" s="242"/>
      <c r="O50" s="242"/>
      <c r="P50" s="242"/>
      <c r="Q50" s="242"/>
      <c r="R50" s="242"/>
      <c r="S50" s="49"/>
      <c r="T50" s="49"/>
      <c r="U50" s="49"/>
      <c r="V50" s="311"/>
      <c r="W50" s="311"/>
      <c r="X50" s="311"/>
      <c r="Y50" s="311"/>
      <c r="Z50" s="311"/>
      <c r="AA50" s="311"/>
      <c r="AB50" s="311"/>
      <c r="AC50" s="312"/>
    </row>
    <row r="51" spans="2:29" ht="11.7" customHeight="1">
      <c r="B51" s="46"/>
      <c r="C51" s="42"/>
      <c r="D51" s="49"/>
      <c r="E51" s="49"/>
      <c r="F51" s="49"/>
      <c r="G51" s="49"/>
      <c r="H51" s="49"/>
      <c r="I51" s="49"/>
      <c r="J51" s="49"/>
      <c r="K51" s="49"/>
      <c r="L51" s="49"/>
      <c r="M51" s="49"/>
      <c r="N51" s="49"/>
      <c r="O51" s="49"/>
      <c r="P51" s="49"/>
      <c r="Q51" s="49"/>
      <c r="R51" s="49"/>
      <c r="S51" s="49"/>
      <c r="T51" s="49"/>
      <c r="U51" s="313"/>
      <c r="V51" s="66"/>
      <c r="W51" s="66"/>
      <c r="X51" s="66"/>
      <c r="Y51" s="66"/>
      <c r="Z51" s="66"/>
      <c r="AA51" s="66"/>
      <c r="AB51" s="66"/>
      <c r="AC51" s="66"/>
    </row>
    <row r="52" spans="2:29" ht="12.6" customHeight="1">
      <c r="B52" s="46"/>
      <c r="C52" s="42"/>
      <c r="D52" s="49"/>
      <c r="E52" s="48" t="s">
        <v>331</v>
      </c>
      <c r="F52" s="138" t="s">
        <v>419</v>
      </c>
      <c r="G52" s="138"/>
      <c r="H52" s="138"/>
      <c r="I52" s="138"/>
      <c r="J52" s="138"/>
      <c r="K52" s="140" t="s">
        <v>240</v>
      </c>
      <c r="L52" s="140"/>
      <c r="M52" s="140" t="s">
        <v>240</v>
      </c>
      <c r="N52" s="140" t="s">
        <v>241</v>
      </c>
      <c r="O52" s="49"/>
      <c r="P52" s="49"/>
      <c r="Q52" s="49"/>
      <c r="R52" s="49"/>
      <c r="S52" s="49"/>
      <c r="T52" s="49"/>
      <c r="U52" s="313"/>
      <c r="V52" s="66"/>
      <c r="W52" s="66"/>
      <c r="X52" s="66"/>
      <c r="Y52" s="66"/>
      <c r="Z52" s="66"/>
      <c r="AA52" s="66"/>
      <c r="AB52" s="66"/>
      <c r="AC52" s="66"/>
    </row>
    <row r="53" spans="2:29" customHeight="1">
      <c r="B53" s="46"/>
      <c r="C53" s="42"/>
      <c r="D53" s="49"/>
      <c r="E53" s="49"/>
      <c r="F53" s="49"/>
      <c r="G53" s="49"/>
      <c r="H53" s="49"/>
      <c r="I53" s="49"/>
      <c r="J53" s="49"/>
      <c r="K53" s="140" t="s">
        <v>410</v>
      </c>
      <c r="L53" s="140"/>
      <c r="M53" s="140" t="s">
        <v>411</v>
      </c>
      <c r="N53" s="49"/>
      <c r="O53" s="49"/>
      <c r="P53" s="49"/>
      <c r="Q53" s="49"/>
      <c r="R53" s="49"/>
      <c r="S53" s="49"/>
      <c r="T53" s="49"/>
      <c r="U53" s="313"/>
      <c r="V53" s="66"/>
      <c r="W53" s="66"/>
      <c r="X53" s="66"/>
      <c r="Y53" s="66"/>
      <c r="Z53" s="66"/>
      <c r="AA53" s="66"/>
      <c r="AB53" s="66"/>
      <c r="AC53" s="66"/>
    </row>
    <row r="54" spans="2:29" customHeight="1">
      <c r="B54" s="46"/>
      <c r="C54" s="42"/>
      <c r="D54" s="49"/>
      <c r="E54" s="140" t="s">
        <v>420</v>
      </c>
      <c r="F54" s="140"/>
      <c r="G54" s="140"/>
      <c r="H54" s="140"/>
      <c r="I54" s="140"/>
      <c r="J54" s="49"/>
      <c r="K54" s="314" t="e">
        <f>(1/(((P49-(-IF(K62&gt;0,K62,8))))/$K$10))</f>
        <v>#VALUE!</v>
      </c>
      <c r="L54" s="315"/>
      <c r="M54" s="314" t="e">
        <f>(1/(((R49-(-IF(M62&gt;0,M62,930))))/$K$11))</f>
        <v>#VALUE!</v>
      </c>
      <c r="N54" s="235" t="s">
        <v>323</v>
      </c>
      <c r="O54" s="49"/>
      <c r="P54" s="49"/>
      <c r="Q54" s="49"/>
      <c r="R54" s="49"/>
      <c r="S54" s="49"/>
      <c r="T54" s="49"/>
      <c r="U54" s="313"/>
      <c r="V54" s="66"/>
      <c r="W54" s="66"/>
      <c r="X54" s="66"/>
      <c r="Y54" s="66"/>
      <c r="Z54" s="66"/>
      <c r="AA54" s="66"/>
      <c r="AB54" s="66"/>
      <c r="AC54" s="66"/>
    </row>
    <row r="55" spans="2:29" ht="14.7" customHeight="1">
      <c r="B55" s="46"/>
      <c r="C55" s="42"/>
      <c r="D55" s="49"/>
      <c r="E55" s="140" t="s">
        <v>421</v>
      </c>
      <c r="F55" s="140"/>
      <c r="G55" s="140"/>
      <c r="H55" s="140"/>
      <c r="I55" s="140"/>
      <c r="J55" s="49"/>
      <c r="K55" s="314"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15"/>
      <c r="M55" s="314"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35" t="s">
        <v>323</v>
      </c>
      <c r="O55" s="49"/>
      <c r="P55" s="49"/>
      <c r="Q55" s="49"/>
      <c r="R55" s="49"/>
      <c r="S55" s="49"/>
      <c r="T55" s="49"/>
      <c r="U55" s="313"/>
      <c r="V55" s="66"/>
      <c r="W55" s="66"/>
      <c r="X55" s="66"/>
      <c r="Y55" s="66"/>
      <c r="Z55" s="66"/>
      <c r="AA55" s="66"/>
      <c r="AB55" s="66"/>
      <c r="AC55" s="66"/>
    </row>
    <row r="56" spans="2:29" ht="14.7" customHeight="1">
      <c r="B56" s="46"/>
      <c r="C56" s="42"/>
      <c r="D56" s="49"/>
      <c r="E56" s="140" t="s">
        <v>79</v>
      </c>
      <c r="F56" s="140"/>
      <c r="G56" s="140"/>
      <c r="H56" s="140"/>
      <c r="I56" s="140"/>
      <c r="J56" s="140"/>
      <c r="K56" s="314" t="e">
        <f>(1/(($P$49-'Data Tables'!O7)/$K$10))</f>
        <v>#VALUE!</v>
      </c>
      <c r="L56" s="315"/>
      <c r="M56" s="314" t="e">
        <f>(1/(($R$49-'Data Tables'!P7)/$K$11))</f>
        <v>#VALUE!</v>
      </c>
      <c r="N56" s="235" t="s">
        <v>323</v>
      </c>
      <c r="O56" s="235"/>
      <c r="P56" s="258"/>
      <c r="Q56" s="258"/>
      <c r="R56" s="235"/>
      <c r="S56" s="235"/>
      <c r="T56" s="49"/>
      <c r="U56" s="313"/>
      <c r="V56" s="66"/>
      <c r="W56" s="66"/>
      <c r="X56" s="66"/>
      <c r="Y56" s="66"/>
      <c r="Z56" s="66"/>
      <c r="AA56" s="66"/>
      <c r="AB56" s="66"/>
      <c r="AC56" s="66"/>
    </row>
    <row r="57" spans="2:29" ht="14.7" customHeight="1">
      <c r="B57" s="46"/>
      <c r="C57" s="42"/>
      <c r="D57" s="49"/>
      <c r="E57" s="140" t="s">
        <v>75</v>
      </c>
      <c r="F57" s="140"/>
      <c r="G57" s="140"/>
      <c r="H57" s="140"/>
      <c r="I57" s="140"/>
      <c r="J57" s="140"/>
      <c r="K57" s="314" t="e">
        <f>(1/(($P$49-'Data Tables'!O5)/$K$10))</f>
        <v>#VALUE!</v>
      </c>
      <c r="L57" s="315"/>
      <c r="M57" s="314" t="e">
        <f>(1/(($R$49-'Data Tables'!P5)/$K$11))</f>
        <v>#VALUE!</v>
      </c>
      <c r="N57" s="235" t="s">
        <v>323</v>
      </c>
      <c r="O57" s="235"/>
      <c r="P57" s="258"/>
      <c r="Q57" s="258"/>
      <c r="R57" s="235"/>
      <c r="S57" s="235"/>
      <c r="T57" s="49"/>
      <c r="U57" s="313"/>
      <c r="V57" s="66"/>
      <c r="W57" s="66"/>
      <c r="X57" s="66"/>
      <c r="Y57" s="66"/>
      <c r="Z57" s="66"/>
      <c r="AA57" s="66"/>
      <c r="AB57" s="66"/>
      <c r="AC57" s="66"/>
    </row>
    <row r="58" spans="2:29" ht="14.7" customHeight="1">
      <c r="B58" s="46"/>
      <c r="C58" s="42"/>
      <c r="D58" s="49"/>
      <c r="E58" s="140" t="s">
        <v>422</v>
      </c>
      <c r="F58" s="140"/>
      <c r="G58" s="140"/>
      <c r="H58" s="140"/>
      <c r="I58" s="140"/>
      <c r="J58" s="140"/>
      <c r="K58" s="314" t="e">
        <f>(1/(($P$49-'Data Tables'!O6)/$K$10))</f>
        <v>#VALUE!</v>
      </c>
      <c r="L58" s="315"/>
      <c r="M58" s="314" t="e">
        <f>(1/(($R$49-'Data Tables'!P6)/$K$11))</f>
        <v>#VALUE!</v>
      </c>
      <c r="N58" s="235" t="s">
        <v>323</v>
      </c>
      <c r="O58" s="235"/>
      <c r="P58" s="258"/>
      <c r="Q58" s="258"/>
      <c r="R58" s="235"/>
      <c r="S58" s="235"/>
      <c r="T58" s="49"/>
      <c r="U58" s="313"/>
      <c r="V58" s="66"/>
      <c r="W58" s="66"/>
      <c r="X58" s="66"/>
      <c r="Y58" s="66"/>
      <c r="Z58" s="66"/>
      <c r="AA58" s="66"/>
      <c r="AB58" s="66"/>
      <c r="AC58" s="66"/>
    </row>
    <row r="59" spans="2:29" ht="14.7" customHeight="1">
      <c r="B59" s="46"/>
      <c r="C59" s="42"/>
      <c r="D59" s="49"/>
      <c r="E59" s="140" t="s">
        <v>423</v>
      </c>
      <c r="F59" s="140"/>
      <c r="G59" s="140"/>
      <c r="H59" s="140"/>
      <c r="I59" s="140"/>
      <c r="J59" s="140"/>
      <c r="K59" s="314" t="e">
        <f>(1/(($P$49-'Data Tables'!O4)/$K$10))</f>
        <v>#VALUE!</v>
      </c>
      <c r="L59" s="315"/>
      <c r="M59" s="314" t="e">
        <f>(1/(($R$49-'Data Tables'!P4)/$K$11))</f>
        <v>#VALUE!</v>
      </c>
      <c r="N59" s="235" t="s">
        <v>323</v>
      </c>
      <c r="O59" s="235"/>
      <c r="P59" s="258"/>
      <c r="Q59" s="258"/>
      <c r="R59" s="235"/>
      <c r="S59" s="235"/>
      <c r="T59" s="49"/>
      <c r="U59" s="313"/>
      <c r="V59" s="66"/>
      <c r="W59" s="66"/>
      <c r="X59" s="66"/>
      <c r="Y59" s="66"/>
      <c r="Z59" s="66"/>
      <c r="AA59" s="66"/>
      <c r="AB59" s="66"/>
      <c r="AC59" s="66"/>
    </row>
    <row r="60" spans="2:29" ht="7.5" customHeight="1">
      <c r="B60" s="46"/>
      <c r="C60" s="42"/>
      <c r="D60" s="49"/>
      <c r="E60" s="49"/>
      <c r="F60" s="49"/>
      <c r="G60" s="49"/>
      <c r="H60" s="49"/>
      <c r="I60" s="49"/>
      <c r="J60" s="49"/>
      <c r="K60" s="49"/>
      <c r="L60" s="49"/>
      <c r="M60" s="49"/>
      <c r="N60" s="49"/>
      <c r="O60" s="49"/>
      <c r="P60" s="49"/>
      <c r="Q60" s="49"/>
      <c r="R60" s="49"/>
      <c r="S60" s="49"/>
      <c r="T60" s="49"/>
      <c r="U60" s="313"/>
      <c r="V60" s="66"/>
      <c r="W60" s="66"/>
      <c r="X60" s="66"/>
      <c r="Y60" s="66"/>
      <c r="Z60" s="66"/>
      <c r="AA60" s="66"/>
      <c r="AB60" s="66"/>
      <c r="AC60" s="66"/>
    </row>
    <row r="61" spans="2:29" ht="16.2" customHeight="1">
      <c r="B61" s="46"/>
      <c r="C61" s="42"/>
      <c r="D61" s="49"/>
      <c r="E61" s="49"/>
      <c r="F61" s="138" t="s">
        <v>424</v>
      </c>
      <c r="G61" s="138"/>
      <c r="H61" s="138"/>
      <c r="I61" s="138"/>
      <c r="J61" s="138"/>
      <c r="K61" s="221"/>
      <c r="L61" s="221"/>
      <c r="M61" s="221"/>
      <c r="N61" s="49"/>
      <c r="O61" s="49"/>
      <c r="P61" s="49"/>
      <c r="Q61" s="49"/>
      <c r="R61" s="49"/>
      <c r="S61" s="49"/>
      <c r="T61" s="49"/>
      <c r="U61" s="313"/>
      <c r="V61" s="66"/>
      <c r="W61" s="66"/>
      <c r="X61" s="66"/>
      <c r="Y61" s="66"/>
      <c r="Z61" s="66"/>
      <c r="AA61" s="66"/>
      <c r="AB61" s="66"/>
      <c r="AC61" s="66"/>
    </row>
    <row r="62" spans="2:29" ht="18" customHeight="1">
      <c r="B62" s="46"/>
      <c r="C62" s="42"/>
      <c r="D62" s="49"/>
      <c r="E62" s="49"/>
      <c r="F62" s="49"/>
      <c r="G62" s="138" t="s">
        <v>425</v>
      </c>
      <c r="H62" s="138"/>
      <c r="I62" s="138"/>
      <c r="J62" s="138"/>
      <c r="K62" s="233"/>
      <c r="L62" s="234"/>
      <c r="M62" s="233"/>
      <c r="N62" s="235" t="s">
        <v>413</v>
      </c>
      <c r="O62" s="222"/>
      <c r="P62" s="49"/>
      <c r="Q62" s="49"/>
      <c r="R62" s="49"/>
      <c r="S62" s="49"/>
      <c r="T62" s="49"/>
      <c r="U62" s="313"/>
      <c r="V62" s="66"/>
      <c r="W62" s="66"/>
      <c r="X62" s="66"/>
      <c r="Y62" s="66"/>
      <c r="Z62" s="66"/>
      <c r="AA62" s="66"/>
      <c r="AB62" s="66"/>
      <c r="AC62" s="66"/>
    </row>
    <row r="63" spans="2:29" ht="58.2" customHeight="1">
      <c r="B63" s="46"/>
      <c r="C63" s="42"/>
      <c r="D63" s="49"/>
      <c r="E63" s="232" t="s">
        <v>426</v>
      </c>
      <c r="F63" s="232"/>
      <c r="G63" s="232"/>
      <c r="H63" s="232"/>
      <c r="I63" s="232"/>
      <c r="J63" s="232"/>
      <c r="K63" s="232"/>
      <c r="L63" s="232"/>
      <c r="M63" s="232"/>
      <c r="N63" s="232"/>
      <c r="O63" s="232"/>
      <c r="P63" s="232"/>
      <c r="Q63" s="232"/>
      <c r="R63" s="232"/>
      <c r="S63" s="232"/>
      <c r="T63" s="232"/>
      <c r="U63" s="313"/>
      <c r="V63" s="66"/>
      <c r="W63" s="66"/>
      <c r="X63" s="66"/>
      <c r="Y63" s="66"/>
      <c r="Z63" s="66"/>
      <c r="AA63" s="66"/>
      <c r="AB63" s="66"/>
      <c r="AC63" s="66"/>
    </row>
    <row r="64" spans="2:29" ht="14.7" customHeight="1">
      <c r="B64" s="46"/>
      <c r="C64" s="42"/>
      <c r="D64" s="49"/>
      <c r="E64" s="49"/>
      <c r="F64" s="49"/>
      <c r="G64" s="49"/>
      <c r="H64" s="49"/>
      <c r="I64" s="49"/>
      <c r="J64" s="49"/>
      <c r="K64" s="221"/>
      <c r="L64" s="221"/>
      <c r="M64" s="221"/>
      <c r="N64" s="49"/>
      <c r="O64" s="49"/>
      <c r="P64" s="221"/>
      <c r="Q64" s="221"/>
      <c r="R64" s="221"/>
      <c r="S64" s="49"/>
      <c r="T64" s="49"/>
      <c r="U64" s="313"/>
      <c r="V64" s="66"/>
      <c r="W64" s="66"/>
      <c r="X64" s="66"/>
      <c r="Y64" s="66"/>
      <c r="Z64" s="66"/>
      <c r="AA64" s="66"/>
      <c r="AB64" s="66"/>
      <c r="AC64" s="66"/>
    </row>
    <row r="65" spans="2:29" ht="10.2" customHeight="1">
      <c r="B65" s="46"/>
      <c r="C65" s="42"/>
      <c r="D65" s="49"/>
      <c r="E65" s="48" t="s">
        <v>297</v>
      </c>
      <c r="F65" s="49" t="s">
        <v>427</v>
      </c>
      <c r="G65" s="49"/>
      <c r="H65" s="49"/>
      <c r="I65" s="49"/>
      <c r="J65" s="49"/>
      <c r="K65" s="140" t="s">
        <v>240</v>
      </c>
      <c r="L65" s="140"/>
      <c r="M65" s="140" t="s">
        <v>240</v>
      </c>
      <c r="N65" s="140" t="s">
        <v>241</v>
      </c>
      <c r="O65" s="140"/>
      <c r="P65" s="140" t="s">
        <v>240</v>
      </c>
      <c r="Q65" s="140"/>
      <c r="R65" s="140" t="s">
        <v>241</v>
      </c>
      <c r="S65" s="140"/>
      <c r="T65" s="49"/>
      <c r="U65" s="313"/>
      <c r="V65" s="66"/>
      <c r="W65" s="66"/>
      <c r="X65" s="66"/>
      <c r="Y65" s="66"/>
      <c r="Z65" s="66"/>
      <c r="AA65" s="66"/>
      <c r="AB65" s="66"/>
      <c r="AC65" s="66"/>
    </row>
    <row r="66" spans="2:29" ht="13.5" customHeight="1">
      <c r="B66" s="46"/>
      <c r="C66" s="42"/>
      <c r="D66" s="49"/>
      <c r="E66" s="48"/>
      <c r="F66" s="49"/>
      <c r="G66" s="49"/>
      <c r="H66" s="49"/>
      <c r="I66" s="49"/>
      <c r="J66" s="49"/>
      <c r="K66" s="140" t="s">
        <v>410</v>
      </c>
      <c r="L66" s="140"/>
      <c r="M66" s="140" t="s">
        <v>411</v>
      </c>
      <c r="N66" s="49"/>
      <c r="O66" s="49"/>
      <c r="P66" s="140" t="s">
        <v>410</v>
      </c>
      <c r="Q66" s="140"/>
      <c r="R66" s="140" t="s">
        <v>411</v>
      </c>
      <c r="S66" s="140"/>
      <c r="T66" s="49"/>
      <c r="U66" s="313"/>
      <c r="V66" s="66"/>
      <c r="W66" s="316"/>
      <c r="X66" s="66"/>
      <c r="Y66" s="66"/>
      <c r="Z66" s="66"/>
      <c r="AA66" s="66"/>
      <c r="AB66" s="66"/>
      <c r="AC66" s="66"/>
    </row>
    <row r="67" spans="2:29" ht="19.2" customHeight="1">
      <c r="B67" s="46"/>
      <c r="C67" s="42"/>
      <c r="D67" s="49"/>
      <c r="E67" s="140" t="s">
        <v>420</v>
      </c>
      <c r="F67" s="140"/>
      <c r="G67" s="140"/>
      <c r="H67" s="140"/>
      <c r="I67" s="140"/>
      <c r="J67" s="140"/>
      <c r="K67" s="317"/>
      <c r="L67" s="271"/>
      <c r="M67" s="317"/>
      <c r="N67" s="235" t="s">
        <v>293</v>
      </c>
      <c r="O67" s="235"/>
      <c r="P67" s="314" t="str">
        <f>IF(K67&gt;0,(1/(($P$49-(-IF(K62&gt;0,K62,8)))/K67)),"0")</f>
        <v>0</v>
      </c>
      <c r="Q67" s="315"/>
      <c r="R67" s="314" t="str">
        <f>IF(M67&gt;0,(1/(($P$49-(-IF(M62&gt;0,M62,930)))/M67)),"0")</f>
        <v>0</v>
      </c>
      <c r="S67" s="235" t="s">
        <v>323</v>
      </c>
      <c r="T67" s="49"/>
      <c r="U67" s="313"/>
      <c r="V67" s="66"/>
      <c r="W67" s="316"/>
      <c r="X67" s="66"/>
      <c r="Y67" s="66"/>
      <c r="Z67" s="66"/>
      <c r="AA67" s="66"/>
      <c r="AB67" s="66"/>
      <c r="AC67" s="66"/>
    </row>
    <row r="68" spans="2:29" ht="22.5" customHeight="1">
      <c r="B68" s="46"/>
      <c r="C68" s="42"/>
      <c r="D68" s="49"/>
      <c r="E68" s="140" t="s">
        <v>421</v>
      </c>
      <c r="F68" s="140"/>
      <c r="G68" s="140"/>
      <c r="H68" s="140"/>
      <c r="I68" s="140"/>
      <c r="J68" s="140"/>
      <c r="K68" s="317"/>
      <c r="L68" s="271"/>
      <c r="M68" s="317"/>
      <c r="N68" s="235" t="s">
        <v>293</v>
      </c>
      <c r="O68" s="235"/>
      <c r="P68" s="314"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15"/>
      <c r="R68" s="314"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35" t="s">
        <v>323</v>
      </c>
      <c r="T68" s="49"/>
      <c r="U68" s="313"/>
      <c r="V68" s="66"/>
      <c r="W68" s="66"/>
      <c r="X68" s="66"/>
      <c r="Y68" s="66"/>
      <c r="Z68" s="66"/>
      <c r="AA68" s="66"/>
      <c r="AB68" s="66"/>
      <c r="AC68" s="66"/>
    </row>
    <row r="69" spans="2:29" ht="13.5" customHeight="1">
      <c r="B69" s="46"/>
      <c r="C69" s="42"/>
      <c r="D69" s="49"/>
      <c r="E69" s="140" t="s">
        <v>79</v>
      </c>
      <c r="F69" s="140"/>
      <c r="G69" s="140"/>
      <c r="H69" s="140"/>
      <c r="I69" s="140"/>
      <c r="J69" s="140"/>
      <c r="K69" s="317"/>
      <c r="L69" s="271"/>
      <c r="M69" s="317"/>
      <c r="N69" s="235" t="s">
        <v>293</v>
      </c>
      <c r="O69" s="235"/>
      <c r="P69" s="314" t="str">
        <f>IF(K69&gt;0,(1/(($P$49-'Data Tables'!O7)/K69)),"0")</f>
        <v>0</v>
      </c>
      <c r="Q69" s="315"/>
      <c r="R69" s="314" t="str">
        <f>IF(M69&gt;0,(1/(($R$49-'Data Tables'!P7)/M69)),"0")</f>
        <v>0</v>
      </c>
      <c r="S69" s="235" t="s">
        <v>323</v>
      </c>
      <c r="T69" s="49"/>
      <c r="U69" s="313"/>
      <c r="V69" s="66"/>
      <c r="W69" s="316"/>
      <c r="X69" s="66"/>
      <c r="Y69" s="66"/>
      <c r="Z69" s="66"/>
      <c r="AA69" s="66"/>
      <c r="AB69" s="66"/>
      <c r="AC69" s="66"/>
    </row>
    <row r="70" spans="2:29" ht="16.5" customHeight="1">
      <c r="B70" s="46"/>
      <c r="C70" s="42"/>
      <c r="D70" s="49"/>
      <c r="E70" s="140" t="s">
        <v>75</v>
      </c>
      <c r="F70" s="140"/>
      <c r="G70" s="140"/>
      <c r="H70" s="140"/>
      <c r="I70" s="140"/>
      <c r="J70" s="140"/>
      <c r="K70" s="317"/>
      <c r="L70" s="271"/>
      <c r="M70" s="317"/>
      <c r="N70" s="235" t="s">
        <v>293</v>
      </c>
      <c r="O70" s="235"/>
      <c r="P70" s="314" t="str">
        <f>IF(K70&gt;0,(1/(($P$49-'Data Tables'!O5)/K70)),"0")</f>
        <v>0</v>
      </c>
      <c r="Q70" s="315"/>
      <c r="R70" s="314" t="str">
        <f>IF(M70&gt;0,(1/(($P$49-'Data Tables'!P5)/M70)),"0")</f>
        <v>0</v>
      </c>
      <c r="S70" s="235" t="s">
        <v>323</v>
      </c>
      <c r="T70" s="49"/>
      <c r="U70" s="313"/>
      <c r="V70" s="66"/>
      <c r="W70" s="66"/>
      <c r="X70" s="66"/>
      <c r="Y70" s="66"/>
      <c r="Z70" s="66"/>
      <c r="AA70" s="66"/>
      <c r="AB70" s="66"/>
      <c r="AC70" s="66"/>
    </row>
    <row r="71" spans="2:29" ht="16.5" customHeight="1">
      <c r="B71" s="46"/>
      <c r="C71" s="42"/>
      <c r="D71" s="49"/>
      <c r="E71" s="140" t="s">
        <v>422</v>
      </c>
      <c r="F71" s="140"/>
      <c r="G71" s="140"/>
      <c r="H71" s="140"/>
      <c r="I71" s="140"/>
      <c r="J71" s="140"/>
      <c r="K71" s="317"/>
      <c r="L71" s="271"/>
      <c r="M71" s="317"/>
      <c r="N71" s="235" t="s">
        <v>293</v>
      </c>
      <c r="O71" s="235"/>
      <c r="P71" s="314" t="str">
        <f>IF(K71&gt;0,(1/(($P$49-'Data Tables'!O6)/K71)),"0")</f>
        <v>0</v>
      </c>
      <c r="Q71" s="315"/>
      <c r="R71" s="314" t="str">
        <f>IF(M71&gt;0,(1/(($R$49-'Data Tables'!P6)/M71)),"0")</f>
        <v>0</v>
      </c>
      <c r="S71" s="235" t="s">
        <v>323</v>
      </c>
      <c r="T71" s="49"/>
      <c r="U71" s="313"/>
      <c r="V71" s="66"/>
      <c r="W71" s="66"/>
      <c r="X71" s="66"/>
      <c r="Y71" s="66"/>
      <c r="Z71" s="66"/>
      <c r="AA71" s="66"/>
      <c r="AB71" s="66"/>
      <c r="AC71" s="66"/>
    </row>
    <row r="72" spans="2:29" ht="16.5" customHeight="1">
      <c r="B72" s="46"/>
      <c r="C72" s="42"/>
      <c r="D72" s="49"/>
      <c r="E72" s="140" t="s">
        <v>423</v>
      </c>
      <c r="F72" s="140"/>
      <c r="G72" s="140"/>
      <c r="H72" s="140"/>
      <c r="I72" s="140"/>
      <c r="J72" s="140"/>
      <c r="K72" s="317"/>
      <c r="L72" s="271"/>
      <c r="M72" s="317"/>
      <c r="N72" s="235" t="s">
        <v>293</v>
      </c>
      <c r="O72" s="235"/>
      <c r="P72" s="314" t="str">
        <f>IF(K72&gt;0,(1/(($P$49-'Data Tables'!O4)/K72)),"0")</f>
        <v>0</v>
      </c>
      <c r="Q72" s="315"/>
      <c r="R72" s="314" t="str">
        <f>IF(M72&gt;0,(1/(($R$49-'Data Tables'!P4)/M72)),"0")</f>
        <v>0</v>
      </c>
      <c r="S72" s="235" t="s">
        <v>323</v>
      </c>
      <c r="T72" s="49"/>
      <c r="U72" s="313"/>
      <c r="V72" s="66"/>
      <c r="W72" s="66"/>
      <c r="X72" s="66"/>
      <c r="Y72" s="66"/>
      <c r="Z72" s="66"/>
      <c r="AA72" s="66"/>
      <c r="AB72" s="66"/>
      <c r="AC72" s="66"/>
    </row>
    <row r="73" spans="2:29" ht="22.2" customHeight="1">
      <c r="B73" s="46"/>
      <c r="C73" s="42"/>
      <c r="D73" s="49"/>
      <c r="E73" s="49"/>
      <c r="F73" s="49"/>
      <c r="G73" s="49"/>
      <c r="H73" s="49"/>
      <c r="I73" s="49"/>
      <c r="J73" s="49"/>
      <c r="K73" s="49"/>
      <c r="L73" s="49"/>
      <c r="M73" s="49"/>
      <c r="N73" s="235"/>
      <c r="O73" s="235"/>
      <c r="P73" s="318"/>
      <c r="Q73" s="318"/>
      <c r="R73" s="235"/>
      <c r="S73" s="235"/>
      <c r="T73" s="49"/>
      <c r="U73" s="313"/>
      <c r="V73" s="66"/>
      <c r="W73" s="66"/>
      <c r="X73" s="66"/>
      <c r="Y73" s="66"/>
      <c r="Z73" s="66"/>
      <c r="AA73" s="66"/>
      <c r="AB73" s="66"/>
      <c r="AC73" s="66"/>
    </row>
    <row r="74" spans="2:29" ht="15.6" customHeight="1">
      <c r="B74" s="46"/>
      <c r="C74" s="42"/>
      <c r="D74" s="49"/>
      <c r="E74" s="49"/>
      <c r="F74" s="142" t="s">
        <v>428</v>
      </c>
      <c r="G74" s="142"/>
      <c r="H74" s="142"/>
      <c r="I74" s="142"/>
      <c r="J74" s="49"/>
      <c r="K74" s="267">
        <f>K10-(SUM(K67:K72))</f>
        <v>0</v>
      </c>
      <c r="L74" s="263"/>
      <c r="M74" s="267">
        <f>K11-(SUM(M67:M72))</f>
        <v>0</v>
      </c>
      <c r="N74" s="241" t="s">
        <v>302</v>
      </c>
      <c r="O74" s="241"/>
      <c r="P74" s="284">
        <f>SUM(P67:P72)</f>
        <v>0</v>
      </c>
      <c r="Q74" s="319"/>
      <c r="R74" s="284">
        <f>SUM(R67:R72)</f>
        <v>0</v>
      </c>
      <c r="S74" s="241" t="s">
        <v>323</v>
      </c>
      <c r="T74" s="49"/>
      <c r="U74" s="313"/>
      <c r="V74" s="66"/>
      <c r="W74" s="66"/>
      <c r="X74" s="66"/>
      <c r="Y74" s="66"/>
      <c r="Z74" s="66"/>
      <c r="AA74" s="66"/>
      <c r="AB74" s="66"/>
      <c r="AC74" s="66"/>
    </row>
    <row r="75" spans="2:29" ht="18" customHeight="1">
      <c r="B75" s="46"/>
      <c r="C75" s="42"/>
      <c r="D75" s="49"/>
      <c r="E75" s="49"/>
      <c r="F75" s="49"/>
      <c r="G75" s="49"/>
      <c r="H75" s="49"/>
      <c r="I75" s="49"/>
      <c r="J75" s="49"/>
      <c r="K75" s="49"/>
      <c r="L75" s="49"/>
      <c r="M75" s="49"/>
      <c r="N75" s="49"/>
      <c r="O75" s="49"/>
      <c r="P75" s="49"/>
      <c r="Q75" s="49"/>
      <c r="R75" s="49"/>
      <c r="S75" s="49"/>
      <c r="T75" s="49"/>
      <c r="U75" s="313"/>
      <c r="V75" s="66"/>
      <c r="W75" s="66"/>
      <c r="X75" s="66"/>
      <c r="Y75" s="66"/>
      <c r="Z75" s="66"/>
      <c r="AA75" s="66"/>
      <c r="AB75" s="66"/>
      <c r="AC75" s="66"/>
    </row>
    <row r="76" spans="2:29" ht="55.5" customHeight="1">
      <c r="B76" s="46"/>
      <c r="C76" s="42"/>
      <c r="D76" s="49"/>
      <c r="E76" s="232" t="s">
        <v>429</v>
      </c>
      <c r="F76" s="232"/>
      <c r="G76" s="232"/>
      <c r="H76" s="232"/>
      <c r="I76" s="232"/>
      <c r="J76" s="232"/>
      <c r="K76" s="232"/>
      <c r="L76" s="232"/>
      <c r="M76" s="232"/>
      <c r="N76" s="232"/>
      <c r="O76" s="232"/>
      <c r="P76" s="232"/>
      <c r="Q76" s="232"/>
      <c r="R76" s="232"/>
      <c r="S76" s="232"/>
      <c r="T76" s="232"/>
      <c r="U76" s="313"/>
      <c r="V76" s="66"/>
      <c r="W76" s="66"/>
      <c r="X76" s="66"/>
      <c r="Y76" s="66"/>
      <c r="Z76" s="66"/>
      <c r="AA76" s="66"/>
      <c r="AB76" s="66"/>
      <c r="AC76" s="66"/>
    </row>
    <row r="77" spans="2:29" ht="15.6">
      <c r="B77" s="46"/>
      <c r="C77" s="42"/>
      <c r="D77" s="49"/>
      <c r="E77" s="49"/>
      <c r="F77" s="49"/>
      <c r="G77" s="49"/>
      <c r="H77" s="49"/>
      <c r="I77" s="49"/>
      <c r="J77" s="49"/>
      <c r="K77" s="49"/>
      <c r="L77" s="49"/>
      <c r="M77" s="49"/>
      <c r="N77" s="49"/>
      <c r="O77" s="49"/>
      <c r="P77" s="49"/>
      <c r="Q77" s="49"/>
      <c r="R77" s="49"/>
      <c r="S77" s="49"/>
      <c r="T77" s="49"/>
      <c r="U77" s="313"/>
      <c r="V77" s="66"/>
      <c r="W77" s="66"/>
      <c r="X77" s="66"/>
      <c r="Y77" s="66"/>
      <c r="Z77" s="66"/>
      <c r="AA77" s="66"/>
      <c r="AB77" s="66"/>
      <c r="AC77" s="66"/>
    </row>
    <row r="78" spans="2:29" ht="15.6">
      <c r="B78" s="46"/>
      <c r="C78" s="42"/>
      <c r="D78" s="49"/>
      <c r="E78" s="48" t="s">
        <v>384</v>
      </c>
      <c r="F78" s="49" t="s">
        <v>427</v>
      </c>
      <c r="G78" s="49"/>
      <c r="H78" s="49"/>
      <c r="I78" s="49"/>
      <c r="J78" s="49"/>
      <c r="K78" s="140" t="s">
        <v>240</v>
      </c>
      <c r="L78" s="140"/>
      <c r="M78" s="140" t="s">
        <v>240</v>
      </c>
      <c r="N78" s="140" t="s">
        <v>241</v>
      </c>
      <c r="O78" s="140"/>
      <c r="P78" s="140" t="s">
        <v>240</v>
      </c>
      <c r="Q78" s="140"/>
      <c r="R78" s="140" t="s">
        <v>241</v>
      </c>
      <c r="S78" s="140"/>
      <c r="T78" s="49"/>
      <c r="U78" s="313"/>
      <c r="V78" s="66"/>
      <c r="W78" s="66"/>
      <c r="X78" s="66"/>
      <c r="Y78" s="66"/>
      <c r="Z78" s="66"/>
      <c r="AA78" s="66"/>
      <c r="AB78" s="66"/>
      <c r="AC78" s="66"/>
    </row>
    <row r="79" spans="2:29" ht="15.6">
      <c r="B79" s="46"/>
      <c r="C79" s="42"/>
      <c r="D79" s="49"/>
      <c r="E79" s="48"/>
      <c r="F79" s="49"/>
      <c r="G79" s="49"/>
      <c r="H79" s="49"/>
      <c r="I79" s="49"/>
      <c r="J79" s="49"/>
      <c r="K79" s="140" t="s">
        <v>410</v>
      </c>
      <c r="L79" s="140"/>
      <c r="M79" s="140" t="s">
        <v>411</v>
      </c>
      <c r="N79" s="49"/>
      <c r="O79" s="49"/>
      <c r="P79" s="140" t="s">
        <v>410</v>
      </c>
      <c r="Q79" s="140"/>
      <c r="R79" s="140" t="s">
        <v>411</v>
      </c>
      <c r="S79" s="140"/>
      <c r="T79" s="49"/>
      <c r="U79" s="313"/>
      <c r="V79" s="66"/>
      <c r="W79" s="66"/>
      <c r="X79" s="66"/>
      <c r="Y79" s="66"/>
      <c r="Z79" s="66"/>
      <c r="AA79" s="66"/>
      <c r="AB79" s="66"/>
      <c r="AC79" s="66"/>
    </row>
    <row r="80" spans="2:29" ht="15.6">
      <c r="B80" s="46"/>
      <c r="C80" s="42"/>
      <c r="D80" s="49"/>
      <c r="E80" s="140" t="s">
        <v>420</v>
      </c>
      <c r="F80" s="140"/>
      <c r="G80" s="140"/>
      <c r="H80" s="140"/>
      <c r="I80" s="140"/>
      <c r="J80" s="140"/>
      <c r="K80" s="276"/>
      <c r="L80" s="320"/>
      <c r="M80" s="276"/>
      <c r="N80" s="235" t="s">
        <v>430</v>
      </c>
      <c r="O80" s="235"/>
      <c r="P80" s="262" t="e">
        <f>K80*($P$49-(-IF(K62&gt;0,K62,8)))</f>
        <v>#VALUE!</v>
      </c>
      <c r="Q80" s="258"/>
      <c r="R80" s="262" t="e">
        <f>M80*($R$49-(-IF(M62&gt;0,M62,930)))</f>
        <v>#VALUE!</v>
      </c>
      <c r="S80" s="235" t="s">
        <v>293</v>
      </c>
      <c r="T80" s="49"/>
      <c r="U80" s="313"/>
      <c r="V80" s="66"/>
      <c r="W80" s="66"/>
      <c r="X80" s="66"/>
      <c r="Y80" s="66"/>
      <c r="Z80" s="66"/>
      <c r="AA80" s="66"/>
      <c r="AB80" s="66"/>
      <c r="AC80" s="66"/>
    </row>
    <row r="81" spans="2:29" ht="15.6">
      <c r="B81" s="46"/>
      <c r="C81" s="42"/>
      <c r="D81" s="49"/>
      <c r="E81" s="140" t="s">
        <v>421</v>
      </c>
      <c r="F81" s="140"/>
      <c r="G81" s="140"/>
      <c r="H81" s="140"/>
      <c r="I81" s="140"/>
      <c r="J81" s="140"/>
      <c r="K81" s="276"/>
      <c r="L81" s="320"/>
      <c r="M81" s="276"/>
      <c r="N81" s="235" t="s">
        <v>430</v>
      </c>
      <c r="O81" s="235"/>
      <c r="P81" s="262"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58"/>
      <c r="R81" s="262"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35" t="s">
        <v>293</v>
      </c>
      <c r="T81" s="49"/>
      <c r="U81" s="313"/>
      <c r="V81" s="66"/>
      <c r="W81" s="66"/>
      <c r="X81" s="66"/>
      <c r="Y81" s="66"/>
      <c r="Z81" s="66"/>
      <c r="AA81" s="66"/>
      <c r="AB81" s="66"/>
      <c r="AC81" s="66"/>
    </row>
    <row r="82" spans="2:29" ht="15.6">
      <c r="B82" s="46"/>
      <c r="C82" s="42"/>
      <c r="D82" s="49"/>
      <c r="E82" s="140" t="s">
        <v>79</v>
      </c>
      <c r="F82" s="140"/>
      <c r="G82" s="140"/>
      <c r="H82" s="140"/>
      <c r="I82" s="140"/>
      <c r="J82" s="140"/>
      <c r="K82" s="276"/>
      <c r="L82" s="320"/>
      <c r="M82" s="276"/>
      <c r="N82" s="235" t="s">
        <v>430</v>
      </c>
      <c r="O82" s="235"/>
      <c r="P82" s="262" t="e">
        <f>K82*($P$49-'Data Tables'!O7)</f>
        <v>#VALUE!</v>
      </c>
      <c r="Q82" s="258"/>
      <c r="R82" s="262" t="e">
        <f>M82*($R$49-'Data Tables'!P7)</f>
        <v>#VALUE!</v>
      </c>
      <c r="S82" s="235" t="s">
        <v>293</v>
      </c>
      <c r="T82" s="49"/>
      <c r="U82" s="313"/>
      <c r="V82" s="66"/>
      <c r="W82" s="66"/>
      <c r="X82" s="66"/>
      <c r="Y82" s="66"/>
      <c r="Z82" s="66"/>
      <c r="AA82" s="66"/>
      <c r="AB82" s="66"/>
      <c r="AC82" s="66"/>
    </row>
    <row r="83" spans="2:29" ht="15.6">
      <c r="B83" s="46"/>
      <c r="C83" s="42"/>
      <c r="D83" s="49"/>
      <c r="E83" s="140" t="s">
        <v>75</v>
      </c>
      <c r="F83" s="140"/>
      <c r="G83" s="140"/>
      <c r="H83" s="140"/>
      <c r="I83" s="140"/>
      <c r="J83" s="140"/>
      <c r="K83" s="276"/>
      <c r="L83" s="320"/>
      <c r="M83" s="276"/>
      <c r="N83" s="235" t="s">
        <v>430</v>
      </c>
      <c r="O83" s="235"/>
      <c r="P83" s="262" t="e">
        <f>K83*($P$49-'Data Tables'!O5)</f>
        <v>#VALUE!</v>
      </c>
      <c r="Q83" s="258"/>
      <c r="R83" s="262" t="e">
        <f>M83*($R$49-'Data Tables'!P5)</f>
        <v>#VALUE!</v>
      </c>
      <c r="S83" s="235" t="s">
        <v>293</v>
      </c>
      <c r="T83" s="49"/>
      <c r="U83" s="313"/>
      <c r="V83" s="66"/>
      <c r="W83" s="66"/>
      <c r="X83" s="66"/>
      <c r="Y83" s="66"/>
      <c r="Z83" s="66"/>
      <c r="AA83" s="66"/>
      <c r="AB83" s="66"/>
      <c r="AC83" s="66"/>
    </row>
    <row r="84" spans="2:29" ht="15.6">
      <c r="B84" s="46"/>
      <c r="C84" s="42"/>
      <c r="D84" s="49"/>
      <c r="E84" s="140" t="s">
        <v>422</v>
      </c>
      <c r="F84" s="140"/>
      <c r="G84" s="140"/>
      <c r="H84" s="140"/>
      <c r="I84" s="140"/>
      <c r="J84" s="140"/>
      <c r="K84" s="276"/>
      <c r="L84" s="320"/>
      <c r="M84" s="276"/>
      <c r="N84" s="235" t="s">
        <v>430</v>
      </c>
      <c r="O84" s="235"/>
      <c r="P84" s="262" t="e">
        <f>K84*($P$49-'Data Tables'!O6)</f>
        <v>#VALUE!</v>
      </c>
      <c r="Q84" s="258"/>
      <c r="R84" s="262" t="e">
        <f>M84*($R$49-'Data Tables'!P6)</f>
        <v>#VALUE!</v>
      </c>
      <c r="S84" s="235" t="s">
        <v>293</v>
      </c>
      <c r="T84" s="49"/>
      <c r="U84" s="313"/>
      <c r="V84" s="66"/>
      <c r="W84" s="66"/>
      <c r="X84" s="66"/>
      <c r="Y84" s="66"/>
      <c r="Z84" s="66"/>
      <c r="AA84" s="66"/>
      <c r="AB84" s="66"/>
      <c r="AC84" s="66"/>
    </row>
    <row r="85" spans="2:29" ht="15.6">
      <c r="B85" s="46"/>
      <c r="C85" s="42"/>
      <c r="D85" s="49"/>
      <c r="E85" s="140" t="s">
        <v>423</v>
      </c>
      <c r="F85" s="140"/>
      <c r="G85" s="140"/>
      <c r="H85" s="140"/>
      <c r="I85" s="140"/>
      <c r="J85" s="140"/>
      <c r="K85" s="276"/>
      <c r="L85" s="320"/>
      <c r="M85" s="276"/>
      <c r="N85" s="235" t="s">
        <v>430</v>
      </c>
      <c r="O85" s="235"/>
      <c r="P85" s="262" t="e">
        <f>K85*($P$49-'Data Tables'!O4)</f>
        <v>#VALUE!</v>
      </c>
      <c r="Q85" s="258"/>
      <c r="R85" s="262" t="e">
        <f>M85*($R$49-'Data Tables'!P4)</f>
        <v>#VALUE!</v>
      </c>
      <c r="S85" s="235" t="s">
        <v>293</v>
      </c>
      <c r="T85" s="49"/>
      <c r="U85" s="313"/>
      <c r="V85" s="66"/>
      <c r="W85" s="66"/>
      <c r="X85" s="66"/>
      <c r="Y85" s="66"/>
      <c r="Z85" s="66"/>
      <c r="AA85" s="66"/>
      <c r="AB85" s="66"/>
      <c r="AC85" s="66"/>
    </row>
    <row r="86" spans="2:29" ht="30" customHeight="1">
      <c r="B86" s="46"/>
      <c r="C86" s="42"/>
      <c r="D86" s="49"/>
      <c r="E86" s="49"/>
      <c r="F86" s="49"/>
      <c r="G86" s="49"/>
      <c r="H86" s="49"/>
      <c r="I86" s="49"/>
      <c r="J86" s="49"/>
      <c r="K86" s="321"/>
      <c r="L86" s="321"/>
      <c r="M86" s="321"/>
      <c r="N86" s="235"/>
      <c r="O86" s="235"/>
      <c r="P86" s="235"/>
      <c r="Q86" s="235"/>
      <c r="R86" s="235"/>
      <c r="S86" s="235"/>
      <c r="T86" s="49"/>
      <c r="U86" s="313"/>
      <c r="V86" s="66"/>
      <c r="W86" s="66"/>
      <c r="X86" s="66"/>
      <c r="Y86" s="66"/>
      <c r="Z86" s="66"/>
      <c r="AA86" s="66"/>
      <c r="AB86" s="66"/>
      <c r="AC86" s="66"/>
    </row>
    <row r="87" spans="2:29" ht="29.7" customHeight="1">
      <c r="B87" s="46"/>
      <c r="C87" s="42"/>
      <c r="D87" s="49"/>
      <c r="E87" s="49"/>
      <c r="F87" s="142" t="s">
        <v>428</v>
      </c>
      <c r="G87" s="142"/>
      <c r="H87" s="142"/>
      <c r="I87" s="142"/>
      <c r="J87" s="49"/>
      <c r="K87" s="284">
        <f>(SUM(K80:K85))</f>
        <v>0</v>
      </c>
      <c r="L87" s="319"/>
      <c r="M87" s="284">
        <f>(SUM(M80:M85))</f>
        <v>0</v>
      </c>
      <c r="N87" s="241" t="s">
        <v>430</v>
      </c>
      <c r="O87" s="241"/>
      <c r="P87" s="267" t="e">
        <f>K10-(SUM(P80:P85))</f>
        <v>#VALUE!</v>
      </c>
      <c r="Q87" s="263"/>
      <c r="R87" s="267" t="e">
        <f>K11-(SUM(R80:R85))</f>
        <v>#VALUE!</v>
      </c>
      <c r="S87" s="241" t="s">
        <v>302</v>
      </c>
      <c r="T87" s="49"/>
      <c r="U87" s="313"/>
      <c r="V87" s="66"/>
      <c r="W87" s="66"/>
      <c r="X87" s="66"/>
      <c r="Y87" s="66"/>
      <c r="Z87" s="66"/>
      <c r="AA87" s="66"/>
      <c r="AB87" s="66"/>
      <c r="AC87" s="66"/>
    </row>
    <row r="88" spans="2:29" ht="15" customHeight="1">
      <c r="B88" s="46"/>
      <c r="C88" s="42"/>
      <c r="D88" s="49"/>
      <c r="E88" s="49"/>
      <c r="F88" s="49"/>
      <c r="G88" s="49"/>
      <c r="H88" s="49"/>
      <c r="I88" s="49"/>
      <c r="J88" s="49"/>
      <c r="K88" s="49"/>
      <c r="L88" s="49"/>
      <c r="M88" s="49"/>
      <c r="N88" s="49"/>
      <c r="O88" s="49"/>
      <c r="P88" s="49"/>
      <c r="Q88" s="49"/>
      <c r="R88" s="49"/>
      <c r="S88" s="49"/>
      <c r="T88" s="49"/>
      <c r="U88" s="313"/>
      <c r="V88" s="66"/>
      <c r="W88" s="66"/>
      <c r="X88" s="66"/>
      <c r="Y88" s="66"/>
      <c r="Z88" s="66"/>
      <c r="AA88" s="66"/>
      <c r="AB88" s="66"/>
      <c r="AC88" s="66"/>
    </row>
    <row r="89" spans="2:29" ht="51.6" customHeight="1" thickBot="1">
      <c r="B89" s="50"/>
      <c r="C89" s="51"/>
      <c r="D89" s="311"/>
      <c r="E89" s="326" t="s">
        <v>431</v>
      </c>
      <c r="F89" s="326"/>
      <c r="G89" s="326"/>
      <c r="H89" s="326"/>
      <c r="I89" s="326"/>
      <c r="J89" s="326"/>
      <c r="K89" s="326"/>
      <c r="L89" s="326"/>
      <c r="M89" s="326"/>
      <c r="N89" s="326"/>
      <c r="O89" s="326"/>
      <c r="P89" s="326"/>
      <c r="Q89" s="326"/>
      <c r="R89" s="326"/>
      <c r="S89" s="326"/>
      <c r="T89" s="326"/>
      <c r="U89" s="322"/>
      <c r="V89" s="66"/>
      <c r="W89" s="66"/>
      <c r="X89" s="66"/>
      <c r="Y89" s="66"/>
      <c r="Z89" s="66"/>
      <c r="AA89" s="66"/>
      <c r="AB89" s="66"/>
      <c r="AC89" s="66"/>
    </row>
    <row r="90" spans="2:29" ht="18" customHeight="1">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row r="92"/>
    <row r="93"/>
    <row r="94"/>
    <row r="95"/>
    <row r="96"/>
    <row r="97"/>
    <row r="98"/>
  </sheetData>
  <sheetProtection algorithmName="SHA-512" hashValue="mUOq4iolToge6tE5mmEa2TfIiaSednPYOUtnG8wGn9WkLqKzQkVT4zsqqDA/wy9KJ0a6fZ9Y1rCnVbVZ8ZlNGA==" saltValue="HMrnyW5k3Qt9LQz3eqP7Dw==" spinCount="100000" sheet="1" insertRows="0" selectLockedCells="1"/>
  <mergeCells count="83">
    <mergeCell ref="F22:J22"/>
    <mergeCell ref="F3:T3"/>
    <mergeCell ref="E4:T6"/>
    <mergeCell ref="T32:X32"/>
    <mergeCell ref="T21:X21"/>
    <mergeCell ref="T22:X22"/>
    <mergeCell ref="T23:X23"/>
    <mergeCell ref="T24:X24"/>
    <mergeCell ref="T16:X16"/>
    <mergeCell ref="T18:Z18"/>
    <mergeCell ref="T19:Z19"/>
    <mergeCell ref="F20:J20"/>
    <mergeCell ref="R25:AC25"/>
    <mergeCell ref="T26:X26"/>
    <mergeCell ref="F52:J52"/>
    <mergeCell ref="E54:I54"/>
    <mergeCell ref="T46:X46"/>
    <mergeCell ref="T44:X44"/>
    <mergeCell ref="T34:X34"/>
    <mergeCell ref="T35:X35"/>
    <mergeCell ref="T41:X41"/>
    <mergeCell ref="T42:X42"/>
    <mergeCell ref="E37:I37"/>
    <mergeCell ref="E39:I39"/>
    <mergeCell ref="T37:X37"/>
    <mergeCell ref="T39:X39"/>
    <mergeCell ref="E43:I43"/>
    <mergeCell ref="T43:X43"/>
    <mergeCell ref="T40:X40"/>
    <mergeCell ref="T36:X36"/>
    <mergeCell ref="E55:I55"/>
    <mergeCell ref="F8:J8"/>
    <mergeCell ref="F14:J14"/>
    <mergeCell ref="E27:I27"/>
    <mergeCell ref="E28:I28"/>
    <mergeCell ref="E29:I29"/>
    <mergeCell ref="E30:I30"/>
    <mergeCell ref="E31:I31"/>
    <mergeCell ref="E18:O18"/>
    <mergeCell ref="E38:I38"/>
    <mergeCell ref="E40:I40"/>
    <mergeCell ref="E46:I46"/>
    <mergeCell ref="K16:M16"/>
    <mergeCell ref="I49:O49"/>
    <mergeCell ref="E44:I44"/>
    <mergeCell ref="F26:J26"/>
    <mergeCell ref="E80:I80"/>
    <mergeCell ref="E81:I81"/>
    <mergeCell ref="E67:I67"/>
    <mergeCell ref="E68:I68"/>
    <mergeCell ref="E69:I69"/>
    <mergeCell ref="E70:I70"/>
    <mergeCell ref="E71:I71"/>
    <mergeCell ref="E56:I56"/>
    <mergeCell ref="E57:I57"/>
    <mergeCell ref="E58:I58"/>
    <mergeCell ref="E59:I59"/>
    <mergeCell ref="E63:T63"/>
    <mergeCell ref="G62:J62"/>
    <mergeCell ref="F61:J61"/>
    <mergeCell ref="T38:X38"/>
    <mergeCell ref="T27:X27"/>
    <mergeCell ref="T28:X28"/>
    <mergeCell ref="T29:X29"/>
    <mergeCell ref="T30:X30"/>
    <mergeCell ref="T31:X31"/>
    <mergeCell ref="T33:X33"/>
    <mergeCell ref="E89:T89"/>
    <mergeCell ref="E76:T76"/>
    <mergeCell ref="E32:I32"/>
    <mergeCell ref="E33:I33"/>
    <mergeCell ref="E34:I34"/>
    <mergeCell ref="E35:I35"/>
    <mergeCell ref="E36:I36"/>
    <mergeCell ref="E41:I41"/>
    <mergeCell ref="E42:I42"/>
    <mergeCell ref="F87:I87"/>
    <mergeCell ref="E82:I82"/>
    <mergeCell ref="E83:I83"/>
    <mergeCell ref="E84:I84"/>
    <mergeCell ref="E85:I85"/>
    <mergeCell ref="E72:I72"/>
    <mergeCell ref="F74:I74"/>
  </mergeCells>
  <dataValidations count="4">
    <dataValidation type="list" allowBlank="1" showInputMessage="1" showErrorMessage="1" sqref="Y16 N22:N24 K16:L16 Y24 N27:N44 Y27:Y44">
      <formula1>"Yes,No"</formula1>
    </dataValidation>
    <dataValidation type="list" allowBlank="1" showInputMessage="1" showErrorMessage="1" sqref="Y21">
      <formula1>"Wensum, Yare, Bure"</formula1>
    </dataValidation>
    <dataValidation type="list" allowBlank="1" showInputMessage="1" showErrorMessage="1" sqref="Y22">
      <formula1>"Freely draining, Impermeable - drained for arable, Impermeable - drained for arable and grassland"</formula1>
    </dataValidation>
    <dataValidation type="list" allowBlank="1" showInputMessage="1" showErrorMessage="1" sqref="Y23">
      <formula1>"550-575,575-600,600-625,625-650,650-675,675-700,700-750,750-800,800-850,850-900"</formula1>
    </dataValidation>
  </dataValidations>
  <pageMargins left="0.25" right="0.25" top="0.75" bottom="0.75" header="0.3" footer="0.3"/>
  <pageSetup paperSize="9" scale="45" orientation="portrait" horizontalDpi="360" verticalDpi="360"/>
  <headerFooter scaleWithDoc="1" alignWithMargins="1" differentFirst="0" differentOddEven="0">
    <oddHeader>&amp;LPhosphate Budget Calculator&amp;CStage 5</oddHeader>
    <oddFooter>&amp;LVersion 2.2&amp;R&amp;D</oddFooter>
  </headerFooter>
  <customProperties>
    <customPr name="SSC_SHEET_GUID" r:id="rId2"/>
  </customProperties>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AM90"/>
  <sheetViews>
    <sheetView topLeftCell="A15" view="normal" workbookViewId="0">
      <selection pane="topLeft" activeCell="K15" sqref="K15:L15"/>
    </sheetView>
  </sheetViews>
  <sheetFormatPr zeroHeight="true" defaultRowHeight="13.2"/>
  <cols>
    <col min="2" max="3" width="0.70703125" customWidth="1"/>
    <col min="4" max="4" width="2.27734375" customWidth="1"/>
    <col min="5" max="5" width="10.7109375" customWidth="1"/>
    <col min="7" max="7" width="10" customWidth="1"/>
    <col min="8" max="8" width="10.27734375" customWidth="1"/>
    <col min="9" max="9" width="14" customWidth="1"/>
    <col min="10" max="10" width="13.5703125" customWidth="1"/>
    <col min="11" max="11" width="10.41796875" customWidth="1"/>
    <col min="12" max="12" width="1.7109375" customWidth="1"/>
    <col min="13" max="13" width="9.27734375" customWidth="1"/>
    <col min="14" max="14" width="13.7109375" customWidth="1"/>
    <col min="15" max="15" width="10.5703125" customWidth="1"/>
    <col min="16" max="16" width="2.27734375" customWidth="1"/>
    <col min="17" max="17" width="10.27734375" customWidth="1"/>
    <col min="18" max="18" width="5.41796875" customWidth="1"/>
    <col min="19" max="19" width="0.70703125" customWidth="1"/>
    <col min="20" max="20" width="12.27734375" customWidth="1"/>
    <col min="22" max="22" width="25.5703125" customWidth="1"/>
    <col min="23" max="23" width="12.27734375" customWidth="1"/>
    <col min="24" max="24" width="5.7109375" customWidth="1"/>
    <col min="25" max="25" width="0.140625" hidden="1" customWidth="1"/>
    <col min="26" max="26" width="1.7109375" customWidth="1"/>
    <col min="27" max="27" width="3.27734375" customWidth="1"/>
    <col min="32" max="32" width="8.7109375" customWidth="1"/>
  </cols>
  <sheetData>
    <row r="1" spans="1:1" ht="10.2" customHeight="1" thickBot="1">
      <c r="A1" s="77" t="s">
        <v>432</v>
      </c>
    </row>
    <row r="2" spans="2:27" ht="9" customHeight="1">
      <c r="B2" s="43"/>
      <c r="C2" s="44"/>
      <c r="D2" s="44"/>
      <c r="E2" s="44"/>
      <c r="F2" s="44"/>
      <c r="G2" s="44"/>
      <c r="H2" s="44"/>
      <c r="I2" s="44"/>
      <c r="J2" s="44"/>
      <c r="K2" s="44"/>
      <c r="L2" s="44"/>
      <c r="M2" s="44"/>
      <c r="N2" s="44"/>
      <c r="O2" s="44"/>
      <c r="P2" s="44"/>
      <c r="Q2" s="44"/>
      <c r="R2" s="44"/>
      <c r="S2" s="45"/>
      <c r="T2" s="40"/>
      <c r="U2" s="40"/>
      <c r="V2" s="40"/>
      <c r="W2" s="40"/>
      <c r="X2" s="40"/>
      <c r="Y2" s="40"/>
      <c r="Z2" s="40"/>
      <c r="AA2" s="40"/>
    </row>
    <row r="3" spans="2:27" ht="28.5" customHeight="1">
      <c r="B3" s="46"/>
      <c r="C3" s="224"/>
      <c r="D3" s="272"/>
      <c r="E3" s="192" t="s">
        <v>432</v>
      </c>
      <c r="F3" s="229" t="s">
        <v>396</v>
      </c>
      <c r="G3" s="229"/>
      <c r="H3" s="229"/>
      <c r="I3" s="229"/>
      <c r="J3" s="229"/>
      <c r="K3" s="229"/>
      <c r="L3" s="229"/>
      <c r="M3" s="229"/>
      <c r="N3" s="229"/>
      <c r="O3" s="229"/>
      <c r="P3" s="229"/>
      <c r="Q3" s="229"/>
      <c r="R3" s="229"/>
      <c r="S3" s="230"/>
      <c r="T3" s="224"/>
      <c r="U3" s="224"/>
      <c r="V3" s="224"/>
      <c r="W3" s="224"/>
      <c r="X3" s="224"/>
      <c r="Y3" s="224"/>
      <c r="Z3" s="224"/>
      <c r="AA3" s="224"/>
    </row>
    <row r="4" spans="2:27" ht="6.75" customHeight="1">
      <c r="B4" s="46"/>
      <c r="C4" s="273"/>
      <c r="D4" s="273"/>
      <c r="E4" s="232" t="s">
        <v>433</v>
      </c>
      <c r="F4" s="232"/>
      <c r="G4" s="232"/>
      <c r="H4" s="232"/>
      <c r="I4" s="232"/>
      <c r="J4" s="232"/>
      <c r="K4" s="232"/>
      <c r="L4" s="232"/>
      <c r="M4" s="232"/>
      <c r="N4" s="232"/>
      <c r="O4" s="232"/>
      <c r="P4" s="232"/>
      <c r="Q4" s="232"/>
      <c r="R4" s="232"/>
      <c r="S4" s="230"/>
      <c r="T4" s="224"/>
      <c r="U4" s="224"/>
      <c r="V4" s="224"/>
      <c r="W4" s="224"/>
      <c r="X4" s="224"/>
      <c r="Y4" s="224"/>
      <c r="Z4" s="224"/>
      <c r="AA4" s="224"/>
    </row>
    <row r="5" spans="2:27" ht="6.75" customHeight="1">
      <c r="B5" s="46"/>
      <c r="C5" s="273"/>
      <c r="D5" s="273"/>
      <c r="E5" s="232"/>
      <c r="F5" s="232"/>
      <c r="G5" s="232"/>
      <c r="H5" s="232"/>
      <c r="I5" s="232"/>
      <c r="J5" s="232"/>
      <c r="K5" s="232"/>
      <c r="L5" s="232"/>
      <c r="M5" s="232"/>
      <c r="N5" s="232"/>
      <c r="O5" s="232"/>
      <c r="P5" s="232"/>
      <c r="Q5" s="232"/>
      <c r="R5" s="232"/>
      <c r="S5" s="230"/>
      <c r="T5" s="224"/>
      <c r="U5" s="224"/>
      <c r="V5" s="224"/>
      <c r="W5" s="224"/>
      <c r="X5" s="224"/>
      <c r="Y5" s="224"/>
      <c r="Z5" s="224"/>
      <c r="AA5" s="224"/>
    </row>
    <row r="6" spans="2:27" ht="24.75" customHeight="1">
      <c r="B6" s="46"/>
      <c r="C6" s="222"/>
      <c r="D6" s="222"/>
      <c r="E6" s="232"/>
      <c r="F6" s="232"/>
      <c r="G6" s="232"/>
      <c r="H6" s="232"/>
      <c r="I6" s="232"/>
      <c r="J6" s="232"/>
      <c r="K6" s="232"/>
      <c r="L6" s="232"/>
      <c r="M6" s="232"/>
      <c r="N6" s="232"/>
      <c r="O6" s="232"/>
      <c r="P6" s="232"/>
      <c r="Q6" s="232"/>
      <c r="R6" s="232"/>
      <c r="S6" s="230"/>
      <c r="T6" s="224"/>
      <c r="U6" s="224"/>
      <c r="V6" s="224"/>
      <c r="W6" s="224"/>
      <c r="X6" s="224"/>
      <c r="Y6" s="224"/>
      <c r="Z6" s="224"/>
      <c r="AA6" s="224"/>
    </row>
    <row r="7" spans="2:27" ht="21" customHeight="1">
      <c r="B7" s="46"/>
      <c r="C7" s="222"/>
      <c r="D7" s="266"/>
      <c r="E7" s="274"/>
      <c r="F7" s="274"/>
      <c r="G7" s="274"/>
      <c r="H7" s="274"/>
      <c r="I7" s="274"/>
      <c r="J7" s="274"/>
      <c r="K7" s="274"/>
      <c r="L7" s="274"/>
      <c r="M7" s="274"/>
      <c r="N7" s="274"/>
      <c r="O7" s="274"/>
      <c r="P7" s="274"/>
      <c r="Q7" s="274"/>
      <c r="R7" s="274"/>
      <c r="S7" s="230"/>
      <c r="T7" s="224"/>
      <c r="U7" s="224"/>
      <c r="V7" s="224"/>
      <c r="W7" s="224"/>
      <c r="X7" s="224"/>
      <c r="Y7" s="224"/>
      <c r="Z7" s="224"/>
      <c r="AA7" s="224"/>
    </row>
    <row r="8" spans="2:27" ht="37.5" customHeight="1">
      <c r="B8" s="46"/>
      <c r="C8" s="222"/>
      <c r="D8" s="222"/>
      <c r="E8" s="48" t="s">
        <v>238</v>
      </c>
      <c r="F8" s="138" t="s">
        <v>398</v>
      </c>
      <c r="G8" s="138"/>
      <c r="H8" s="138"/>
      <c r="I8" s="138"/>
      <c r="J8" s="138"/>
      <c r="K8" s="140" t="s">
        <v>240</v>
      </c>
      <c r="L8" s="140"/>
      <c r="M8" s="140" t="s">
        <v>241</v>
      </c>
      <c r="N8" s="140"/>
      <c r="O8" s="140"/>
      <c r="P8" s="140"/>
      <c r="Q8" s="140"/>
      <c r="R8" s="49"/>
      <c r="S8" s="230"/>
      <c r="T8" s="224"/>
      <c r="U8" s="224"/>
      <c r="V8" s="224"/>
      <c r="W8" s="224"/>
      <c r="X8" s="224"/>
      <c r="Y8" s="224"/>
      <c r="Z8" s="224"/>
      <c r="AA8" s="224"/>
    </row>
    <row r="9" spans="2:27" ht="7.5" customHeight="1">
      <c r="B9" s="46"/>
      <c r="C9" s="222"/>
      <c r="D9" s="222"/>
      <c r="E9" s="49"/>
      <c r="F9" s="49"/>
      <c r="G9" s="49"/>
      <c r="H9" s="49"/>
      <c r="I9" s="49"/>
      <c r="J9" s="49"/>
      <c r="K9" s="49"/>
      <c r="L9" s="49"/>
      <c r="M9" s="49"/>
      <c r="N9" s="49"/>
      <c r="O9" s="49"/>
      <c r="P9" s="49"/>
      <c r="Q9" s="49"/>
      <c r="R9" s="49"/>
      <c r="S9" s="230"/>
      <c r="T9" s="224"/>
      <c r="U9" s="224"/>
      <c r="V9" s="224"/>
      <c r="W9" s="224"/>
      <c r="X9" s="224"/>
      <c r="Y9" s="224"/>
      <c r="Z9" s="224"/>
      <c r="AA9" s="224"/>
    </row>
    <row r="10" spans="2:27" ht="31.2" customHeight="1">
      <c r="B10" s="46"/>
      <c r="C10" s="222"/>
      <c r="D10" s="222"/>
      <c r="E10" s="49"/>
      <c r="F10" s="38" t="s">
        <v>399</v>
      </c>
      <c r="G10" s="49"/>
      <c r="H10" s="49"/>
      <c r="I10" s="49"/>
      <c r="J10" s="49"/>
      <c r="K10" s="267" t="str">
        <f>IF('Stage 4'!M43&gt;0,'Stage 4'!M43,0)</f>
        <v/>
      </c>
      <c r="L10" s="263"/>
      <c r="M10" s="241" t="s">
        <v>302</v>
      </c>
      <c r="N10" s="241"/>
      <c r="O10" s="241"/>
      <c r="P10" s="241"/>
      <c r="Q10" s="241"/>
      <c r="R10" s="49"/>
      <c r="S10" s="230"/>
      <c r="T10" s="224"/>
      <c r="U10" s="224"/>
      <c r="V10" s="224"/>
      <c r="W10" s="224"/>
      <c r="X10" s="224"/>
      <c r="Y10" s="224"/>
      <c r="Z10" s="224"/>
      <c r="AA10" s="224"/>
    </row>
    <row r="11" spans="2:27" ht="17.7" customHeight="1" thickBot="1">
      <c r="B11" s="46"/>
      <c r="C11" s="222"/>
      <c r="D11" s="222"/>
      <c r="E11" s="49"/>
      <c r="F11" s="49"/>
      <c r="G11" s="49"/>
      <c r="H11" s="49"/>
      <c r="I11" s="49"/>
      <c r="J11" s="49"/>
      <c r="K11" s="49"/>
      <c r="L11" s="49"/>
      <c r="M11" s="49"/>
      <c r="N11" s="49"/>
      <c r="O11" s="49"/>
      <c r="P11" s="49"/>
      <c r="Q11" s="242"/>
      <c r="R11" s="242"/>
      <c r="S11" s="230"/>
      <c r="T11" s="304"/>
      <c r="U11" s="246"/>
      <c r="V11" s="246"/>
      <c r="W11" s="246"/>
      <c r="X11" s="246"/>
      <c r="Y11" s="246"/>
      <c r="Z11" s="246"/>
      <c r="AA11" s="246"/>
    </row>
    <row r="12" spans="2:27" ht="7.2" customHeight="1">
      <c r="B12" s="46"/>
      <c r="C12" s="222"/>
      <c r="D12" s="266"/>
      <c r="E12" s="253"/>
      <c r="F12" s="253"/>
      <c r="G12" s="253"/>
      <c r="H12" s="253"/>
      <c r="I12" s="253"/>
      <c r="J12" s="253"/>
      <c r="K12" s="253"/>
      <c r="L12" s="253"/>
      <c r="M12" s="253"/>
      <c r="N12" s="253"/>
      <c r="O12" s="253"/>
      <c r="P12" s="253"/>
      <c r="Q12" s="49"/>
      <c r="R12" s="49"/>
      <c r="S12" s="222"/>
      <c r="T12" s="222"/>
      <c r="U12" s="222"/>
      <c r="V12" s="222"/>
      <c r="W12" s="222"/>
      <c r="X12" s="222"/>
      <c r="Y12" s="222"/>
      <c r="Z12" s="222"/>
      <c r="AA12" s="305"/>
    </row>
    <row r="13" spans="2:27" ht="16.2" customHeight="1">
      <c r="B13" s="46"/>
      <c r="C13" s="222"/>
      <c r="D13" s="222"/>
      <c r="E13" s="48" t="s">
        <v>259</v>
      </c>
      <c r="F13" s="138" t="s">
        <v>401</v>
      </c>
      <c r="G13" s="138"/>
      <c r="H13" s="138"/>
      <c r="I13" s="138"/>
      <c r="J13" s="138"/>
      <c r="K13" s="49"/>
      <c r="L13" s="49"/>
      <c r="M13" s="49"/>
      <c r="N13" s="49"/>
      <c r="O13" s="49"/>
      <c r="P13" s="49"/>
      <c r="Q13" s="49"/>
      <c r="R13" s="49"/>
      <c r="S13" s="49"/>
      <c r="T13" s="49"/>
      <c r="U13" s="49"/>
      <c r="V13" s="49"/>
      <c r="W13" s="49"/>
      <c r="X13" s="49"/>
      <c r="Y13" s="49"/>
      <c r="Z13" s="49"/>
      <c r="AA13" s="306"/>
    </row>
    <row r="14" spans="2:27" ht="10.5" customHeight="1">
      <c r="B14" s="46"/>
      <c r="C14" s="222"/>
      <c r="D14" s="222"/>
      <c r="E14" s="49"/>
      <c r="F14" s="49"/>
      <c r="G14" s="49"/>
      <c r="H14" s="49"/>
      <c r="I14" s="49"/>
      <c r="J14" s="49"/>
      <c r="K14" s="49"/>
      <c r="L14" s="49"/>
      <c r="M14" s="49"/>
      <c r="N14" s="49"/>
      <c r="O14" s="252"/>
      <c r="P14" s="49"/>
      <c r="Q14" s="49"/>
      <c r="R14" s="49"/>
      <c r="S14" s="49"/>
      <c r="T14" s="49"/>
      <c r="U14" s="49"/>
      <c r="V14" s="49"/>
      <c r="W14" s="66"/>
      <c r="X14" s="49"/>
      <c r="Y14" s="49"/>
      <c r="Z14" s="49"/>
      <c r="AA14" s="306"/>
    </row>
    <row r="15" spans="2:27" ht="14.7" customHeight="1">
      <c r="B15" s="46"/>
      <c r="C15" s="222"/>
      <c r="D15" s="222"/>
      <c r="E15" s="66" t="s">
        <v>402</v>
      </c>
      <c r="F15" s="49" t="s">
        <v>403</v>
      </c>
      <c r="G15" s="49"/>
      <c r="H15" s="49"/>
      <c r="I15" s="49"/>
      <c r="J15" s="49"/>
      <c r="K15" s="233" t="s">
        <v>269</v>
      </c>
      <c r="L15" s="233"/>
      <c r="M15" s="66"/>
      <c r="N15" s="49"/>
      <c r="O15" s="252"/>
      <c r="P15" s="49"/>
      <c r="Q15" s="67"/>
      <c r="R15" s="138" t="s">
        <v>405</v>
      </c>
      <c r="S15" s="138"/>
      <c r="T15" s="138"/>
      <c r="U15" s="138"/>
      <c r="V15" s="138"/>
      <c r="W15" s="233" t="s">
        <v>269</v>
      </c>
      <c r="X15" s="49"/>
      <c r="Y15" s="49"/>
      <c r="Z15" s="49"/>
      <c r="AA15" s="306"/>
    </row>
    <row r="16" spans="2:27" ht="14.7" customHeight="1">
      <c r="B16" s="46"/>
      <c r="C16" s="222"/>
      <c r="D16" s="222"/>
      <c r="E16" s="49"/>
      <c r="F16" s="49"/>
      <c r="G16" s="49"/>
      <c r="H16" s="49"/>
      <c r="I16" s="49"/>
      <c r="J16" s="49"/>
      <c r="K16" s="49"/>
      <c r="L16" s="49"/>
      <c r="M16" s="49"/>
      <c r="N16" s="49"/>
      <c r="O16" s="252"/>
      <c r="P16" s="49"/>
      <c r="Q16" s="49"/>
      <c r="R16" s="49"/>
      <c r="S16" s="49"/>
      <c r="T16" s="49"/>
      <c r="U16" s="49"/>
      <c r="V16" s="49"/>
      <c r="W16" s="49"/>
      <c r="X16" s="49"/>
      <c r="Y16" s="49"/>
      <c r="Z16" s="49"/>
      <c r="AA16" s="306"/>
    </row>
    <row r="17" spans="2:27" ht="61.5" customHeight="1">
      <c r="B17" s="46"/>
      <c r="C17" s="222"/>
      <c r="D17" s="222"/>
      <c r="E17" s="307" t="s">
        <v>406</v>
      </c>
      <c r="F17" s="307"/>
      <c r="G17" s="307"/>
      <c r="H17" s="307"/>
      <c r="I17" s="307"/>
      <c r="J17" s="307"/>
      <c r="K17" s="307"/>
      <c r="L17" s="307"/>
      <c r="M17" s="307"/>
      <c r="N17" s="307"/>
      <c r="O17" s="252"/>
      <c r="P17" s="49"/>
      <c r="Q17" s="49"/>
      <c r="R17" s="307" t="s">
        <v>407</v>
      </c>
      <c r="S17" s="307"/>
      <c r="T17" s="307"/>
      <c r="U17" s="307"/>
      <c r="V17" s="307"/>
      <c r="W17" s="307"/>
      <c r="X17" s="307"/>
      <c r="Y17" s="307"/>
      <c r="Z17" s="307"/>
      <c r="AA17" s="306"/>
    </row>
    <row r="18" spans="2:27" ht="14.7" customHeight="1">
      <c r="B18" s="46"/>
      <c r="C18" s="222"/>
      <c r="D18" s="222"/>
      <c r="E18" s="49"/>
      <c r="F18" s="49"/>
      <c r="G18" s="49"/>
      <c r="H18" s="49"/>
      <c r="I18" s="49"/>
      <c r="J18" s="49"/>
      <c r="K18" s="49"/>
      <c r="L18" s="49"/>
      <c r="M18" s="49"/>
      <c r="N18" s="49"/>
      <c r="O18" s="252"/>
      <c r="P18" s="49"/>
      <c r="Q18" s="49"/>
      <c r="R18" s="138" t="s">
        <v>408</v>
      </c>
      <c r="S18" s="138"/>
      <c r="T18" s="138"/>
      <c r="U18" s="138"/>
      <c r="V18" s="138"/>
      <c r="W18" s="138"/>
      <c r="X18" s="138"/>
      <c r="Y18" s="49"/>
      <c r="Z18" s="49"/>
      <c r="AA18" s="306"/>
    </row>
    <row r="19" spans="2:27" ht="16.2" customHeight="1">
      <c r="B19" s="46"/>
      <c r="C19" s="222"/>
      <c r="D19" s="222"/>
      <c r="E19" s="66"/>
      <c r="F19" s="138" t="s">
        <v>409</v>
      </c>
      <c r="G19" s="138"/>
      <c r="H19" s="138"/>
      <c r="I19" s="138"/>
      <c r="J19" s="138"/>
      <c r="K19" s="140" t="s">
        <v>240</v>
      </c>
      <c r="L19" s="140"/>
      <c r="M19" s="66"/>
      <c r="N19" s="140" t="s">
        <v>241</v>
      </c>
      <c r="O19" s="252"/>
      <c r="P19" s="49"/>
      <c r="Q19" s="49"/>
      <c r="R19" s="221"/>
      <c r="S19" s="221"/>
      <c r="T19" s="221"/>
      <c r="U19" s="221"/>
      <c r="V19" s="221"/>
      <c r="W19" s="221"/>
      <c r="X19" s="221"/>
      <c r="Y19" s="138"/>
      <c r="Z19" s="138"/>
      <c r="AA19" s="306"/>
    </row>
    <row r="20" spans="2:27" ht="13.5" customHeight="1">
      <c r="B20" s="46"/>
      <c r="C20" s="222"/>
      <c r="D20" s="222"/>
      <c r="E20" s="49"/>
      <c r="F20" s="49"/>
      <c r="G20" s="49"/>
      <c r="H20" s="49"/>
      <c r="I20" s="49"/>
      <c r="J20" s="49"/>
      <c r="K20" s="140" t="s">
        <v>410</v>
      </c>
      <c r="L20" s="49"/>
      <c r="M20" s="49"/>
      <c r="N20" s="49"/>
      <c r="O20" s="252"/>
      <c r="P20" s="49"/>
      <c r="Q20" s="49"/>
      <c r="R20" s="138" t="s">
        <v>308</v>
      </c>
      <c r="S20" s="138"/>
      <c r="T20" s="138"/>
      <c r="U20" s="138"/>
      <c r="V20" s="138"/>
      <c r="W20" s="233" t="s">
        <v>309</v>
      </c>
      <c r="X20" s="49"/>
      <c r="Y20" s="49"/>
      <c r="Z20" s="49"/>
      <c r="AA20" s="306"/>
    </row>
    <row r="21" spans="2:27" ht="41.1" customHeight="1">
      <c r="B21" s="46"/>
      <c r="C21" s="222"/>
      <c r="D21" s="222"/>
      <c r="E21" s="49"/>
      <c r="F21" s="142" t="s">
        <v>412</v>
      </c>
      <c r="G21" s="142"/>
      <c r="H21" s="142"/>
      <c r="I21" s="142"/>
      <c r="J21" s="142"/>
      <c r="K21" s="267" t="e">
        <f>'Stage 2'!K46/'Stage 2'!K41</f>
        <v>#DIV/0!</v>
      </c>
      <c r="L21" s="263"/>
      <c r="M21" s="233" t="s">
        <v>269</v>
      </c>
      <c r="N21" s="241" t="s">
        <v>413</v>
      </c>
      <c r="O21" s="252"/>
      <c r="P21" s="49"/>
      <c r="Q21" s="48"/>
      <c r="R21" s="138" t="s">
        <v>310</v>
      </c>
      <c r="S21" s="138"/>
      <c r="T21" s="138"/>
      <c r="U21" s="138"/>
      <c r="V21" s="138"/>
      <c r="W21" s="251" t="s">
        <v>311</v>
      </c>
      <c r="X21" s="49"/>
      <c r="Y21" s="138"/>
      <c r="Z21" s="138"/>
      <c r="AA21" s="306"/>
    </row>
    <row r="22" spans="2:27" ht="16.2" customHeight="1">
      <c r="B22" s="46"/>
      <c r="C22" s="222"/>
      <c r="D22" s="222"/>
      <c r="E22" s="49"/>
      <c r="F22" s="142"/>
      <c r="G22" s="142"/>
      <c r="H22" s="142"/>
      <c r="I22" s="142"/>
      <c r="J22" s="142"/>
      <c r="K22" s="263"/>
      <c r="L22" s="263"/>
      <c r="M22" s="234"/>
      <c r="N22" s="241"/>
      <c r="O22" s="252"/>
      <c r="P22" s="49"/>
      <c r="Q22" s="48"/>
      <c r="R22" s="138" t="s">
        <v>312</v>
      </c>
      <c r="S22" s="138"/>
      <c r="T22" s="138"/>
      <c r="U22" s="138"/>
      <c r="V22" s="138"/>
      <c r="W22" s="233" t="s">
        <v>434</v>
      </c>
      <c r="X22" s="138"/>
      <c r="Y22" s="138"/>
      <c r="Z22" s="138"/>
      <c r="AA22" s="306"/>
    </row>
    <row r="23" spans="2:27" ht="16.2" customHeight="1">
      <c r="B23" s="46"/>
      <c r="C23" s="222"/>
      <c r="D23" s="222"/>
      <c r="E23" s="49"/>
      <c r="F23" s="142"/>
      <c r="G23" s="142"/>
      <c r="H23" s="142"/>
      <c r="I23" s="142"/>
      <c r="J23" s="142"/>
      <c r="K23" s="263"/>
      <c r="L23" s="263"/>
      <c r="M23" s="234"/>
      <c r="N23" s="241"/>
      <c r="O23" s="252"/>
      <c r="P23" s="49"/>
      <c r="Q23" s="48"/>
      <c r="R23" s="138" t="s">
        <v>315</v>
      </c>
      <c r="S23" s="138"/>
      <c r="T23" s="138"/>
      <c r="U23" s="138"/>
      <c r="V23" s="138"/>
      <c r="W23" s="233" t="s">
        <v>267</v>
      </c>
      <c r="X23" s="138"/>
      <c r="Y23" s="138"/>
      <c r="Z23" s="138"/>
      <c r="AA23" s="306"/>
    </row>
    <row r="24" spans="2:27" ht="36.6" customHeight="1">
      <c r="B24" s="46"/>
      <c r="C24" s="222"/>
      <c r="D24" s="222"/>
      <c r="E24" s="49"/>
      <c r="F24" s="38"/>
      <c r="G24" s="49"/>
      <c r="H24" s="49"/>
      <c r="I24" s="49"/>
      <c r="J24" s="49"/>
      <c r="K24" s="263"/>
      <c r="L24" s="263"/>
      <c r="M24" s="140"/>
      <c r="N24" s="241"/>
      <c r="O24" s="252"/>
      <c r="P24" s="49"/>
      <c r="Q24" s="443"/>
      <c r="R24" s="443"/>
      <c r="S24" s="443"/>
      <c r="T24" s="443"/>
      <c r="U24" s="443"/>
      <c r="V24" s="443"/>
      <c r="W24" s="443"/>
      <c r="X24" s="443"/>
      <c r="Y24" s="443"/>
      <c r="Z24" s="443"/>
      <c r="AA24" s="444"/>
    </row>
    <row r="25" spans="2:27" ht="24" customHeight="1">
      <c r="B25" s="46"/>
      <c r="C25" s="222"/>
      <c r="D25" s="222"/>
      <c r="E25" s="49"/>
      <c r="F25" s="142" t="s">
        <v>414</v>
      </c>
      <c r="G25" s="142"/>
      <c r="H25" s="142"/>
      <c r="I25" s="142"/>
      <c r="J25" s="142"/>
      <c r="K25" s="140" t="s">
        <v>410</v>
      </c>
      <c r="L25" s="49"/>
      <c r="M25" s="49"/>
      <c r="N25" s="241"/>
      <c r="O25" s="252"/>
      <c r="P25" s="49"/>
      <c r="Q25" s="49"/>
      <c r="R25" s="142" t="s">
        <v>415</v>
      </c>
      <c r="S25" s="142"/>
      <c r="T25" s="142"/>
      <c r="U25" s="142"/>
      <c r="V25" s="142"/>
      <c r="W25" s="49"/>
      <c r="X25" s="49"/>
      <c r="Y25" s="275" t="s">
        <v>321</v>
      </c>
      <c r="Z25" s="275"/>
      <c r="AA25" s="306"/>
    </row>
    <row r="26" spans="2:39" ht="16.2" customHeight="1">
      <c r="B26" s="46"/>
      <c r="C26" s="222"/>
      <c r="D26" s="222"/>
      <c r="E26" s="140" t="str">
        <f>'Stage 2'!F22</f>
        <v>High density residential</v>
      </c>
      <c r="F26" s="140"/>
      <c r="G26" s="140"/>
      <c r="H26" s="140"/>
      <c r="I26" s="140"/>
      <c r="J26" s="49"/>
      <c r="K26" s="308" t="str">
        <f>IF('Stage 2'!$K22&gt;0,'Stage 2'!O22/'Stage 2'!$K22,"")</f>
        <v/>
      </c>
      <c r="L26" s="263"/>
      <c r="M26" s="233" t="s">
        <v>269</v>
      </c>
      <c r="N26" s="235" t="s">
        <v>413</v>
      </c>
      <c r="O26" s="252"/>
      <c r="P26" s="49"/>
      <c r="Q26" s="49"/>
      <c r="R26" s="140" t="str">
        <f>E26</f>
        <v>High density residential</v>
      </c>
      <c r="S26" s="140"/>
      <c r="T26" s="140"/>
      <c r="U26" s="140"/>
      <c r="V26" s="140"/>
      <c r="W26" s="233" t="s">
        <v>269</v>
      </c>
      <c r="X26" s="49"/>
      <c r="Y26" s="277" t="str">
        <f>IF($W$15="Yes",IF($W26="Yes",IF($W$22="550-575",'Data Tables'!AC39,IF($W$22="575-600",'Data Tables'!AC40,IF($W$22="600-625",'Data Tables'!AC41,IF($W$22="625-650",'Data Tables'!AC42,IF($W$22="650-675",'Data Tables'!AC43,IF($W$22="675-700",'Data Tables'!AC44,IF($W$22="700-750",'Data Tables'!AC45,IF($W$22="750-800",'Data Tables'!AC46,IF($W$22="800-850",'Data Tables'!AC47,'Data Tables'!AC48))))))))),0),"")</f>
        <v/>
      </c>
      <c r="Z26" s="321"/>
      <c r="AA26" s="306"/>
      <c r="AE26" s="111"/>
      <c r="AG26" s="111"/>
      <c r="AI26" s="111"/>
      <c r="AK26" s="111"/>
      <c r="AM26" s="111"/>
    </row>
    <row r="27" spans="2:27" ht="16.2" customHeight="1">
      <c r="B27" s="46"/>
      <c r="C27" s="222"/>
      <c r="D27" s="222"/>
      <c r="E27" s="140" t="str">
        <f>'Stage 2'!F23</f>
        <v>Medium density residential</v>
      </c>
      <c r="F27" s="140"/>
      <c r="G27" s="140"/>
      <c r="H27" s="140"/>
      <c r="I27" s="140"/>
      <c r="J27" s="49"/>
      <c r="K27" s="308" t="str">
        <f>IF('Stage 2'!$K23&gt;0,'Stage 2'!O23/'Stage 2'!$K23,"")</f>
        <v/>
      </c>
      <c r="L27" s="263"/>
      <c r="M27" s="233" t="s">
        <v>269</v>
      </c>
      <c r="N27" s="235" t="s">
        <v>413</v>
      </c>
      <c r="O27" s="252"/>
      <c r="P27" s="49"/>
      <c r="Q27" s="49"/>
      <c r="R27" s="140" t="str">
        <f>E27</f>
        <v>Medium density residential</v>
      </c>
      <c r="S27" s="140"/>
      <c r="T27" s="140"/>
      <c r="U27" s="140"/>
      <c r="V27" s="140"/>
      <c r="W27" s="233" t="s">
        <v>269</v>
      </c>
      <c r="X27" s="49"/>
      <c r="Y27" s="277" t="str">
        <f>IF($W$15="Yes",IF($W27="Yes",IF($W$22="550-575",'Data Tables'!AE39,IF($W$22="575-600",'Data Tables'!AE40,IF($W$22="600-625",'Data Tables'!AE41,IF($W$22="625-650",'Data Tables'!AE42,IF($W$22="650-675",'Data Tables'!AE43,IF($W$22="675-700",'Data Tables'!AE44,IF($W$22="700-750",'Data Tables'!AE45,IF($W$22="750-800",'Data Tables'!AE46,IF($W$22="800-850",'Data Tables'!AE47,'Data Tables'!AE48))))))))),0),"")</f>
        <v/>
      </c>
      <c r="Z27" s="321"/>
      <c r="AA27" s="306"/>
    </row>
    <row r="28" spans="2:27" ht="16.2" customHeight="1">
      <c r="B28" s="46"/>
      <c r="C28" s="222"/>
      <c r="D28" s="222"/>
      <c r="E28" s="140" t="str">
        <f>'Stage 2'!F24</f>
        <v>Low density residential</v>
      </c>
      <c r="F28" s="140"/>
      <c r="G28" s="140"/>
      <c r="H28" s="140"/>
      <c r="I28" s="140"/>
      <c r="J28" s="49"/>
      <c r="K28" s="308" t="str">
        <f>IF('Stage 2'!$K24&gt;0,'Stage 2'!O24/'Stage 2'!$K24,"")</f>
        <v/>
      </c>
      <c r="L28" s="263"/>
      <c r="M28" s="233" t="s">
        <v>269</v>
      </c>
      <c r="N28" s="235" t="s">
        <v>413</v>
      </c>
      <c r="O28" s="252"/>
      <c r="P28" s="49"/>
      <c r="Q28" s="49"/>
      <c r="R28" s="140" t="str">
        <f>E28</f>
        <v>Low density residential</v>
      </c>
      <c r="S28" s="140"/>
      <c r="T28" s="140"/>
      <c r="U28" s="140"/>
      <c r="V28" s="140"/>
      <c r="W28" s="233" t="s">
        <v>269</v>
      </c>
      <c r="X28" s="49"/>
      <c r="Y28" s="277" t="str">
        <f>IF($W$15="Yes",IF($W28="Yes",IF($W$22="550-575",'Data Tables'!AG39,IF($W$22="575-600",'Data Tables'!AG40,IF($W$22="600-625",'Data Tables'!AG41,IF($W$22="625-650",'Data Tables'!AG42,IF($W$22="650-675",'Data Tables'!AG43,IF($W$22="675-700",'Data Tables'!AG44,IF($W$22="700-750",'Data Tables'!AG45,IF($W$22="750-800",'Data Tables'!AG46,IF($W$22="800-850",'Data Tables'!AG47,'Data Tables'!AG48))))))))),0),"")</f>
        <v/>
      </c>
      <c r="Z28" s="321"/>
      <c r="AA28" s="306"/>
    </row>
    <row r="29" spans="2:27" ht="16.2" customHeight="1">
      <c r="B29" s="46"/>
      <c r="C29" s="222"/>
      <c r="D29" s="222"/>
      <c r="E29" s="140" t="str">
        <f>'Stage 2'!F25</f>
        <v>Commercial / Industrial</v>
      </c>
      <c r="F29" s="140"/>
      <c r="G29" s="140"/>
      <c r="H29" s="140"/>
      <c r="I29" s="140"/>
      <c r="J29" s="49"/>
      <c r="K29" s="308" t="str">
        <f>IF('Stage 2'!$K25&gt;0,'Stage 2'!O25/'Stage 2'!$K25,"")</f>
        <v/>
      </c>
      <c r="L29" s="263"/>
      <c r="M29" s="233" t="s">
        <v>269</v>
      </c>
      <c r="N29" s="235" t="s">
        <v>413</v>
      </c>
      <c r="O29" s="252"/>
      <c r="P29" s="49"/>
      <c r="Q29" s="49"/>
      <c r="R29" s="140" t="str">
        <f>E29</f>
        <v>Commercial / Industrial</v>
      </c>
      <c r="S29" s="140"/>
      <c r="T29" s="140"/>
      <c r="U29" s="140"/>
      <c r="V29" s="140"/>
      <c r="W29" s="233" t="s">
        <v>269</v>
      </c>
      <c r="X29" s="49"/>
      <c r="Y29" s="277" t="str">
        <f>IF($W$15="Yes",IF($W29="Yes",IF($W$22="550-575",'Data Tables'!AI39,IF($W$22="575-600",'Data Tables'!AI40,IF($W$22="600-625",'Data Tables'!AI41,IF($W$22="625-650",'Data Tables'!AI42,IF($W$22="650-675",'Data Tables'!AI43,IF($W$22="675-700",'Data Tables'!AI44,IF($W$22="700-750",'Data Tables'!AI45,IF($W$22="750-800",'Data Tables'!AI46,IF($W$22="800-850",'Data Tables'!AI47,'Data Tables'!AI48))))))))),0),"")</f>
        <v/>
      </c>
      <c r="Z29" s="321"/>
      <c r="AA29" s="306"/>
    </row>
    <row r="30" spans="2:27" ht="16.2" customHeight="1">
      <c r="B30" s="46"/>
      <c r="C30" s="222"/>
      <c r="D30" s="222"/>
      <c r="E30" s="140" t="str">
        <f>'Stage 2'!F26</f>
        <v>Urban open space</v>
      </c>
      <c r="F30" s="140"/>
      <c r="G30" s="140"/>
      <c r="H30" s="140"/>
      <c r="I30" s="140"/>
      <c r="J30" s="49"/>
      <c r="K30" s="308" t="str">
        <f>IF('Stage 2'!$K26&gt;0,'Stage 2'!O26/'Stage 2'!$K26,"")</f>
        <v/>
      </c>
      <c r="L30" s="263"/>
      <c r="M30" s="233" t="s">
        <v>269</v>
      </c>
      <c r="N30" s="235" t="s">
        <v>413</v>
      </c>
      <c r="O30" s="252"/>
      <c r="P30" s="49"/>
      <c r="Q30" s="49"/>
      <c r="R30" s="140" t="str">
        <f>E30</f>
        <v>Urban open space</v>
      </c>
      <c r="S30" s="140"/>
      <c r="T30" s="140"/>
      <c r="U30" s="140"/>
      <c r="V30" s="140"/>
      <c r="W30" s="233" t="s">
        <v>269</v>
      </c>
      <c r="X30" s="49"/>
      <c r="Y30" s="277" t="str">
        <f>IF($W$15="Yes",IF($W30="Yes",IF($W$22="550-575",'Data Tables'!AK39,IF($W$22="575-600",'Data Tables'!AK40,IF($W$22="600-625",'Data Tables'!AK41,IF($W$22="625-650",'Data Tables'!AK42,IF($W$22="650-675",'Data Tables'!AK43,IF($W$22="675-700",'Data Tables'!AK44,IF($W$22="700-750",'Data Tables'!AK45,IF($W$22="750-800",'Data Tables'!AK46,IF($W$22="800-850",'Data Tables'!AK47,'Data Tables'!AK48))))))))),0),"")</f>
        <v/>
      </c>
      <c r="Z30" s="321"/>
      <c r="AA30" s="306"/>
    </row>
    <row r="31" spans="2:27" ht="16.2" customHeight="1">
      <c r="B31" s="46"/>
      <c r="C31" s="222"/>
      <c r="D31" s="222"/>
      <c r="E31" s="140" t="str">
        <f>'Stage 2'!F27</f>
        <v>Dairy</v>
      </c>
      <c r="F31" s="140"/>
      <c r="G31" s="140"/>
      <c r="H31" s="140"/>
      <c r="I31" s="140"/>
      <c r="J31" s="49"/>
      <c r="K31" s="308" t="str">
        <f>IF('Stage 2'!$K27&gt;0,'Stage 2'!O27/'Stage 2'!$K27,"")</f>
        <v/>
      </c>
      <c r="L31" s="275"/>
      <c r="M31" s="233" t="s">
        <v>269</v>
      </c>
      <c r="N31" s="235" t="s">
        <v>413</v>
      </c>
      <c r="O31" s="252"/>
      <c r="P31" s="49"/>
      <c r="Q31" s="49"/>
      <c r="R31" s="140" t="str">
        <f>E31</f>
        <v>Dairy</v>
      </c>
      <c r="S31" s="140"/>
      <c r="T31" s="140"/>
      <c r="U31" s="140"/>
      <c r="V31" s="140"/>
      <c r="W31" s="233" t="s">
        <v>269</v>
      </c>
      <c r="X31" s="49"/>
      <c r="Y31" s="279" t="str">
        <f>IF($W$15="Yes",IF($W31="Yes",IF($W$20="Wensum",(IF($W$21="Freely draining",IF($W$22="550-575",IF($W$23="Yes",'Data Tables'!Y5,'Data Tables'!Z5),IF($W$22="575-600",IF($W$23="Yes",'Data Tables'!Y5,'Data Tables'!Z5),IF($W$22="600-625",IF($W$23="Yes",'Data Tables'!Y5,'Data Tables'!Z5),IF($W$22="625-650",IF($W$23="Yes",'Data Tables'!Y5,'Data Tables'!Z5),IF($W$22="650-675",IF($W$23="Yes",'Data Tables'!Y5,'Data Tables'!Z5),IF($W$22="675-700",IF($W$23="Yes",'Data Tables'!Y5,'Data Tables'!Z5),IF($W$22="700-750",IF($W$23="Yes",'Data Tables'!AE5,'Data Tables'!AF5),IF($W$22="750-800",IF($W$23="Yes",'Data Tables'!AE5,'Data Tables'!AF5),IF($W$22="800-850",IF($W$23="Yes",'Data Tables'!AE5,'Data Tables'!AF5),IF($W$23="Yes",'Data Tables'!AE5,'Data Tables'!AF5)))))))))),IF($W$21="Impermeable - drained for arable",IF($W$22="550-575",IF($W$23="Yes",'Data Tables'!AA5,'Data Tables'!AB5),IF($W$22="575-600",IF($W$23="Yes",'Data Tables'!AA5,'Data Tables'!AB5),IF($W$22="600-625",IF($W$23="Yes",'Data Tables'!AA5,'Data Tables'!AB5),IF($W$22="625-650",IF($W$23="Yes",'Data Tables'!AA5,'Data Tables'!AB5),IF($W$22="650-675",IF($W$23="Yes",'Data Tables'!AA5,'Data Tables'!AB5),IF($W$22="675-700",IF($W$23="Yes",'Data Tables'!AA5,'Data Tables'!AB5),IF($W$22="700-750",IF($W$23="Yes",'Data Tables'!AG5,'Data Tables'!AH5),IF($W$22="750-800",IF($W$23="Yes",'Data Tables'!AG5,'Data Tables'!AH5),IF($W$22="800-850",IF($W$23="Yes",'Data Tables'!AG5,'Data Tables'!AH5),IF($W$23="Yes",'Data Tables'!AG5,'Data Tables'!AH5)))))))))),IF($W$22="550-575",IF($W$23="Yes",'Data Tables'!AC5,'Data Tables'!AD5),IF($W$22="575-600",IF($W$23="Yes",'Data Tables'!AC5,'Data Tables'!AD5),IF($W$22="600-625",IF($W$23="Yes",'Data Tables'!AC5,'Data Tables'!AD5),IF($W$22="625-650",IF($W$23="Yes",'Data Tables'!AC5,'Data Tables'!AD5),IF($W$22="650-675",IF($W$23="Yes",'Data Tables'!AC5,'Data Tables'!AD5),IF($W$22="675-700",IF($W$23="Yes",'Data Tables'!AC5,'Data Tables'!AD5),IF($W$22="700-750",IF($W$23="Yes",'Data Tables'!AI5,'Data Tables'!AJ5),IF($W$22="750-800",IF($W$23="Yes",'Data Tables'!AI5,'Data Tables'!AJ5),IF($W$22="800-850",IF($W$23="Yes",'Data Tables'!AI5,'Data Tables'!AJ5),IF($W$23="Yes",'Data Tables'!AI5,'Data Tables'!AJ5))))))))))))),IF($W$20="Yare",(IF($W$21="Freely draining",IF($W$22="550-575",IF($W$23="Yes",'Data Tables'!Y16,'Data Tables'!Z16),IF($W$22="575-600",IF($W$23="Yes",'Data Tables'!Y16,'Data Tables'!Z16),IF($W$22="600-625",IF($W$23="Yes",'Data Tables'!Y16,'Data Tables'!Z16),IF($W$22="625-650",IF($W$23="Yes",'Data Tables'!Y16,'Data Tables'!Z16),IF($W$22="650-675",IF($W$23="Yes",'Data Tables'!Y16,'Data Tables'!Z16),IF($W$22="675-700",IF($W$23="Yes",'Data Tables'!Y16,'Data Tables'!Z16),IF($W$22="700-750",IF($W$23="Yes",'Data Tables'!AE16,'Data Tables'!AF16),IF($W$22="750-800",IF($W$23="Yes",'Data Tables'!AE16,'Data Tables'!AF16),IF($W$22="800-850",IF($W$23="Yes",'Data Tables'!AE16,'Data Tables'!AF16),IF($W$23="Yes",'Data Tables'!AE16,'Data Tables'!AF16)))))))))),IF($W$21="Impermeable - drained for arable",IF($W$22="550-575",IF($W$23="Yes",'Data Tables'!AA16,'Data Tables'!AB16),IF($W$22="575-600",IF($W$23="Yes",'Data Tables'!AA16,'Data Tables'!AB16),IF($W$22="600-625",IF($W$23="Yes",'Data Tables'!AA16,'Data Tables'!AB16),IF($W$22="625-650",IF($W$23="Yes",'Data Tables'!AA16,'Data Tables'!AB16),IF($W$22="650-675",IF($W$23="Yes",'Data Tables'!AA16,'Data Tables'!AB16),IF($W$22="675-700",IF($W$23="Yes",'Data Tables'!AA16,'Data Tables'!AB16),IF($W$22="700-750",IF($W$23="Yes",'Data Tables'!AG16,'Data Tables'!AH16),IF($W$22="750-800",IF($W$23="Yes",'Data Tables'!AG16,'Data Tables'!AH16),IF($W$22="800-850",IF($W$23="Yes",'Data Tables'!AG16,'Data Tables'!AH16),IF($W$23="Yes",'Data Tables'!AG16,'Data Tables'!AH16)))))))))),IF($W$22="550-575",IF($W$23="Yes",'Data Tables'!AC16,'Data Tables'!AD16),IF($W$22="575-600",IF($W$23="Yes",'Data Tables'!AC16,'Data Tables'!AD16),IF($W$22="600-625",IF($W$23="Yes",'Data Tables'!AC16,'Data Tables'!AD16),IF($W$22="625-650",IF($W$23="Yes",'Data Tables'!AC16,'Data Tables'!AD16),IF($W$22="650-675",IF($W$23="Yes",'Data Tables'!AC16,'Data Tables'!AD16),IF($W$22="675-700",IF($W$23="Yes",'Data Tables'!AC16,'Data Tables'!AD16),IF($W$22="700-750",IF($W$23="Yes",'Data Tables'!AI16,'Data Tables'!AJ16),IF($W$22="750-800",IF($W$23="Yes",'Data Tables'!AI16,'Data Tables'!AJ16),IF($W$22="800-850",IF($W$23="Yes",'Data Tables'!AI16,'Data Tables'!AJ16),IF($W$23="Yes",'Data Tables'!AI16,'Data Tables'!AJ16))))))))))))),(IF($W$21="Freely draining",IF($W$22="550-575",IF($W$23="Yes",'Data Tables'!S27,'Data Tables'!T27),IF($W$22="575-600",IF($W$23="Yes",'Data Tables'!S27,'Data Tables'!T27),IF($W$22="600-625",IF($W$23="Yes",'Data Tables'!Y27,'Data Tables'!Z27),IF($W$22="625-650",IF($W$23="Yes",'Data Tables'!Y27,'Data Tables'!Z27),IF($W$22="650-675",IF($W$23="Yes",'Data Tables'!Y27,'Data Tables'!Z27),IF($W$22="675-700",IF($W$23="Yes",'Data Tables'!Y27,'Data Tables'!Z27),IF($W$22="700-750",IF($W$23="Yes",'Data Tables'!AE27,'Data Tables'!AF27),IF($W$22="750-800",IF($W$23="Yes",'Data Tables'!AE27,'Data Tables'!AF27),IF($W$22="800-850",IF($W$23="Yes",'Data Tables'!AE27,'Data Tables'!AF27),IF($W$23="Yes",'Data Tables'!AE27,'Data Tables'!AF27)))))))))),IF($W$21="Impermeable - drained for arable",IF($W$22="550-575",IF($W$23="Yes",'Data Tables'!U27,'Data Tables'!V27),IF($W$22="575-600",IF($W$23="Yes",'Data Tables'!U27,'Data Tables'!V27),IF($W$22="600-625",IF($W$23="Yes",'Data Tables'!AA27,'Data Tables'!AB27),IF($W$22="625-650",IF($W$23="Yes",'Data Tables'!AA27,'Data Tables'!AB27),IF($W$22="650-675",IF($W$23="Yes",'Data Tables'!AA27,'Data Tables'!AB27),IF($W$22="675-700",IF($W$23="Yes",'Data Tables'!AA27,'Data Tables'!AB27),IF($W$22="700-750",IF($W$23="Yes",'Data Tables'!AG27,'Data Tables'!AH27),IF($W$22="750-800",IF($W$23="Yes",'Data Tables'!AG27,'Data Tables'!AH27),IF($W$22="800-850",IF($W$23="Yes",'Data Tables'!AG27,'Data Tables'!AH27),IF($W$23="Yes",'Data Tables'!AG27,'Data Tables'!AH27)))))))))),IF($W$22="550-575",IF($W$23="Yes",'Data Tables'!W27,'Data Tables'!X27),IF($W$22="575-600",IF($W$23="Yes",'Data Tables'!W27,'Data Tables'!X27),IF($W$22="600-625",IF($W$23="Yes",'Data Tables'!AC27,'Data Tables'!AD27),IF($W$22="625-650",IF($W$23="Yes",'Data Tables'!AC27,'Data Tables'!AD27),IF($W$22="650-675",IF($W$23="Yes",'Data Tables'!AC27,'Data Tables'!AD27),IF($W$22="675-700",IF($W$23="Yes",'Data Tables'!AC27,'Data Tables'!AD27),IF($W$22="700-750",IF($W$23="Yes",'Data Tables'!AI27,'Data Tables'!AJ27),IF($W$22="750-800",IF($W$23="Yes",'Data Tables'!AI27,'Data Tables'!AJ27),IF($W$22="800-850",IF($W$23="Yes",'Data Tables'!AI27,'Data Tables'!AJ27),IF($W$23="Yes",'Data Tables'!AI27,'Data Tables'!AJ27))))))))))))))),0),"")</f>
        <v/>
      </c>
      <c r="Z31" s="323"/>
      <c r="AA31" s="306"/>
    </row>
    <row r="32" spans="2:27" ht="16.2" customHeight="1">
      <c r="B32" s="46"/>
      <c r="C32" s="222"/>
      <c r="D32" s="222"/>
      <c r="E32" s="140" t="str">
        <f>'Stage 2'!F28</f>
        <v>Lowland grazing</v>
      </c>
      <c r="F32" s="140"/>
      <c r="G32" s="140"/>
      <c r="H32" s="140"/>
      <c r="I32" s="140"/>
      <c r="J32" s="49"/>
      <c r="K32" s="308" t="str">
        <f>IF('Stage 2'!$K28&gt;0,'Stage 2'!O28/'Stage 2'!$K28,"")</f>
        <v/>
      </c>
      <c r="L32" s="225"/>
      <c r="M32" s="233" t="s">
        <v>269</v>
      </c>
      <c r="N32" s="235" t="s">
        <v>413</v>
      </c>
      <c r="O32" s="252"/>
      <c r="P32" s="49"/>
      <c r="Q32" s="49"/>
      <c r="R32" s="140" t="str">
        <f>E32</f>
        <v>Lowland grazing</v>
      </c>
      <c r="S32" s="140"/>
      <c r="T32" s="140"/>
      <c r="U32" s="140"/>
      <c r="V32" s="140"/>
      <c r="W32" s="233" t="s">
        <v>269</v>
      </c>
      <c r="X32" s="49"/>
      <c r="Y32" s="279" t="str">
        <f>IF($W$15="Yes",IF($W32="Yes",IF($W$20="Wensum",(IF($W$21="Freely draining",IF($W$22="550-575",IF($W$23="Yes",'Data Tables'!Y6,'Data Tables'!Z6),IF($W$22="575-600",IF($W$23="Yes",'Data Tables'!Y6,'Data Tables'!Z6),IF($W$22="600-625",IF($W$23="Yes",'Data Tables'!Y6,'Data Tables'!Z6),IF($W$22="625-650",IF($W$23="Yes",'Data Tables'!Y6,'Data Tables'!Z6),IF($W$22="650-675",IF($W$23="Yes",'Data Tables'!Y6,'Data Tables'!Z6),IF($W$22="675-700",IF($W$23="Yes",'Data Tables'!Y6,'Data Tables'!Z6),IF($W$22="700-750",IF($W$23="Yes",'Data Tables'!AE6,'Data Tables'!AF6),IF($W$22="750-800",IF($W$23="Yes",'Data Tables'!AE6,'Data Tables'!AF6),IF($W$22="800-850",IF($W$23="Yes",'Data Tables'!AE6,'Data Tables'!AF6),IF($W$23="Yes",'Data Tables'!AE6,'Data Tables'!AF6)))))))))),IF($W$21="Impermeable - drained for arable",IF($W$22="550-575",IF($W$23="Yes",'Data Tables'!AA6,'Data Tables'!AB6),IF($W$22="575-600",IF($W$23="Yes",'Data Tables'!AA6,'Data Tables'!AB6),IF($W$22="600-625",IF($W$23="Yes",'Data Tables'!AA6,'Data Tables'!AB6),IF($W$22="625-650",IF($W$23="Yes",'Data Tables'!AA6,'Data Tables'!AB6),IF($W$22="650-675",IF($W$23="Yes",'Data Tables'!AA6,'Data Tables'!AB6),IF($W$22="675-700",IF($W$23="Yes",'Data Tables'!AA6,'Data Tables'!AB6),IF($W$22="700-750",IF($W$23="Yes",'Data Tables'!AG6,'Data Tables'!AH6),IF($W$22="750-800",IF($W$23="Yes",'Data Tables'!AG6,'Data Tables'!AH6),IF($W$22="800-850",IF($W$23="Yes",'Data Tables'!AG6,'Data Tables'!AH6),IF($W$23="Yes",'Data Tables'!AG6,'Data Tables'!AH6)))))))))),IF($W$22="550-575",IF($W$23="Yes",'Data Tables'!AC6,'Data Tables'!AD6),IF($W$22="575-600",IF($W$23="Yes",'Data Tables'!AC6,'Data Tables'!AD6),IF($W$22="600-625",IF($W$23="Yes",'Data Tables'!AC6,'Data Tables'!AD6),IF($W$22="625-650",IF($W$23="Yes",'Data Tables'!AC6,'Data Tables'!AD6),IF($W$22="650-675",IF($W$23="Yes",'Data Tables'!AC6,'Data Tables'!AD6),IF($W$22="675-700",IF($W$23="Yes",'Data Tables'!AC6,'Data Tables'!AD6),IF($W$22="700-750",IF($W$23="Yes",'Data Tables'!AI6,'Data Tables'!AJ6),IF($W$22="750-800",IF($W$23="Yes",'Data Tables'!AI6,'Data Tables'!AJ6),IF($W$22="800-850",IF($W$23="Yes",'Data Tables'!AI6,'Data Tables'!AJ6),IF($W$23="Yes",'Data Tables'!AI6,'Data Tables'!AJ6))))))))))))),IF($W$20="Yare",(IF($W$21="Freely draining",IF($W$22="550-575",IF($W$23="Yes",'Data Tables'!Y17,'Data Tables'!Z17),IF($W$22="575-600",IF($W$23="Yes",'Data Tables'!Y17,'Data Tables'!Z17),IF($W$22="600-625",IF($W$23="Yes",'Data Tables'!Y17,'Data Tables'!Z17),IF($W$22="625-650",IF($W$23="Yes",'Data Tables'!Y17,'Data Tables'!Z17),IF($W$22="650-675",IF($W$23="Yes",'Data Tables'!Y17,'Data Tables'!Z17),IF($W$22="675-700",IF($W$23="Yes",'Data Tables'!Y17,'Data Tables'!Z17),IF($W$22="700-750",IF($W$23="Yes",'Data Tables'!AE17,'Data Tables'!AF17),IF($W$22="750-800",IF($W$23="Yes",'Data Tables'!AE17,'Data Tables'!AF17),IF($W$22="800-850",IF($W$23="Yes",'Data Tables'!AE17,'Data Tables'!AF17),IF($W$23="Yes",'Data Tables'!AE17,'Data Tables'!AF17)))))))))),IF($W$21="Impermeable - drained for arable",IF($W$22="550-575",IF($W$23="Yes",'Data Tables'!AA17,'Data Tables'!AB17),IF($W$22="575-600",IF($W$23="Yes",'Data Tables'!AA17,'Data Tables'!AB17),IF($W$22="600-625",IF($W$23="Yes",'Data Tables'!AA17,'Data Tables'!AB17),IF($W$22="625-650",IF($W$23="Yes",'Data Tables'!AA17,'Data Tables'!AB17),IF($W$22="650-675",IF($W$23="Yes",'Data Tables'!AA17,'Data Tables'!AB17),IF($W$22="675-700",IF($W$23="Yes",'Data Tables'!AA17,'Data Tables'!AB17),IF($W$22="700-750",IF($W$23="Yes",'Data Tables'!AG17,'Data Tables'!AH17),IF($W$22="750-800",IF($W$23="Yes",'Data Tables'!AG17,'Data Tables'!AH17),IF($W$22="800-850",IF($W$23="Yes",'Data Tables'!AG17,'Data Tables'!AH17),IF($W$23="Yes",'Data Tables'!AG17,'Data Tables'!AH17)))))))))),IF($W$22="550-575",IF($W$23="Yes",'Data Tables'!AC17,'Data Tables'!AD17),IF($W$22="575-600",IF($W$23="Yes",'Data Tables'!AC17,'Data Tables'!AD17),IF($W$22="600-625",IF($W$23="Yes",'Data Tables'!AC17,'Data Tables'!AD17),IF($W$22="625-650",IF($W$23="Yes",'Data Tables'!AC17,'Data Tables'!AD17),IF($W$22="650-675",IF($W$23="Yes",'Data Tables'!AC17,'Data Tables'!AD17),IF($W$22="675-700",IF($W$23="Yes",'Data Tables'!AC17,'Data Tables'!AD17),IF($W$22="700-750",IF($W$23="Yes",'Data Tables'!AI17,'Data Tables'!AJ17),IF($W$22="750-800",IF($W$23="Yes",'Data Tables'!AI17,'Data Tables'!AJ17),IF($W$22="800-850",IF($W$23="Yes",'Data Tables'!AI17,'Data Tables'!AJ17),IF($W$23="Yes",'Data Tables'!AI17,'Data Tables'!AJ17))))))))))))),(IF($W$21="Freely draining",IF($W$22="550-575",IF($W$23="Yes",'Data Tables'!S28,'Data Tables'!T28),IF($W$22="575-600",IF($W$23="Yes",'Data Tables'!S28,'Data Tables'!T28),IF($W$22="600-625",IF($W$23="Yes",'Data Tables'!Y28,'Data Tables'!Z28),IF($W$22="625-650",IF($W$23="Yes",'Data Tables'!Y28,'Data Tables'!Z28),IF($W$22="650-675",IF($W$23="Yes",'Data Tables'!Y28,'Data Tables'!Z28),IF($W$22="675-700",IF($W$23="Yes",'Data Tables'!Y28,'Data Tables'!Z28),IF($W$22="700-750",IF($W$23="Yes",'Data Tables'!AE28,'Data Tables'!AF28),IF($W$22="750-800",IF($W$23="Yes",'Data Tables'!AE28,'Data Tables'!AF28),IF($W$22="800-850",IF($W$23="Yes",'Data Tables'!AE28,'Data Tables'!AF28),IF($W$23="Yes",'Data Tables'!AE28,'Data Tables'!AF28)))))))))),IF($W$21="Impermeable - drained for arable",IF($W$22="550-575",IF($W$23="Yes",'Data Tables'!U28,'Data Tables'!V28),IF($W$22="575-600",IF($W$23="Yes",'Data Tables'!U28,'Data Tables'!V28),IF($W$22="600-625",IF($W$23="Yes",'Data Tables'!AA28,'Data Tables'!AB28),IF($W$22="625-650",IF($W$23="Yes",'Data Tables'!AA28,'Data Tables'!AB28),IF($W$22="650-675",IF($W$23="Yes",'Data Tables'!AA28,'Data Tables'!AB28),IF($W$22="675-700",IF($W$23="Yes",'Data Tables'!AA28,'Data Tables'!AB28),IF($W$22="700-750",IF($W$23="Yes",'Data Tables'!AG28,'Data Tables'!AH28),IF($W$22="750-800",IF($W$23="Yes",'Data Tables'!AG28,'Data Tables'!AH28),IF($W$22="800-850",IF($W$23="Yes",'Data Tables'!AG28,'Data Tables'!AH28),IF($W$23="Yes",'Data Tables'!AG28,'Data Tables'!AH28)))))))))),IF($W$22="550-575",IF($W$23="Yes",'Data Tables'!W28,'Data Tables'!X28),IF($W$22="575-600",IF($W$23="Yes",'Data Tables'!W28,'Data Tables'!X28),IF($W$22="600-625",IF($W$23="Yes",'Data Tables'!AC28,'Data Tables'!AD28),IF($W$22="625-650",IF($W$23="Yes",'Data Tables'!AC28,'Data Tables'!AD28),IF($W$22="650-675",IF($W$23="Yes",'Data Tables'!AC28,'Data Tables'!AD28),IF($W$22="675-700",IF($W$23="Yes",'Data Tables'!AC28,'Data Tables'!AD28),IF($W$22="700-750",IF($W$23="Yes",'Data Tables'!AI28,'Data Tables'!AJ28),IF($W$22="750-800",IF($W$23="Yes",'Data Tables'!AI28,'Data Tables'!AJ28),IF($W$22="800-850",IF($W$23="Yes",'Data Tables'!AI28,'Data Tables'!AJ28),IF($W$23="Yes",'Data Tables'!AI28,'Data Tables'!AJ28))))))))))))))),0),"")</f>
        <v/>
      </c>
      <c r="Z32" s="323"/>
      <c r="AA32" s="306"/>
    </row>
    <row r="33" spans="2:27" ht="16.2" customHeight="1">
      <c r="B33" s="46"/>
      <c r="C33" s="222"/>
      <c r="D33" s="222"/>
      <c r="E33" s="140" t="str">
        <f>'Stage 2'!F29</f>
        <v>Mixed</v>
      </c>
      <c r="F33" s="140"/>
      <c r="G33" s="140"/>
      <c r="H33" s="140"/>
      <c r="I33" s="140"/>
      <c r="J33" s="49"/>
      <c r="K33" s="308" t="str">
        <f>IF('Stage 2'!$K29&gt;0,'Stage 2'!O29/'Stage 2'!$K29,"")</f>
        <v/>
      </c>
      <c r="L33" s="225"/>
      <c r="M33" s="233" t="s">
        <v>269</v>
      </c>
      <c r="N33" s="235" t="s">
        <v>413</v>
      </c>
      <c r="O33" s="252"/>
      <c r="P33" s="49"/>
      <c r="Q33" s="49"/>
      <c r="R33" s="140" t="str">
        <f>E33</f>
        <v>Mixed</v>
      </c>
      <c r="S33" s="140"/>
      <c r="T33" s="140"/>
      <c r="U33" s="140"/>
      <c r="V33" s="140"/>
      <c r="W33" s="233" t="s">
        <v>269</v>
      </c>
      <c r="X33" s="49"/>
      <c r="Y33" s="279" t="str">
        <f>IF($W$15="Yes",IF($W33="Yes",IF($W$20="Wensum",(IF($W$21="Freely draining",IF($W$22="550-575",IF($W$23="Yes",'Data Tables'!Y7,'Data Tables'!Z7),IF($W$22="575-600",IF($W$23="Yes",'Data Tables'!Y7,'Data Tables'!Z7),IF($W$22="600-625",IF($W$23="Yes",'Data Tables'!Y7,'Data Tables'!Z7),IF($W$22="625-650",IF($W$23="Yes",'Data Tables'!Y7,'Data Tables'!Z7),IF($W$22="650-675",IF($W$23="Yes",'Data Tables'!Y7,'Data Tables'!Z7),IF($W$22="675-700",IF($W$23="Yes",'Data Tables'!Y7,'Data Tables'!Z7),IF($W$22="700-750",IF($W$23="Yes",'Data Tables'!AE7,'Data Tables'!AF7),IF($W$22="750-800",IF($W$23="Yes",'Data Tables'!AE7,'Data Tables'!AF7),IF($W$22="800-850",IF($W$23="Yes",'Data Tables'!AE7,'Data Tables'!AF7),IF($W$23="Yes",'Data Tables'!AE7,'Data Tables'!AF7)))))))))),IF($W$21="Impermeable - drained for arable",IF($W$22="550-575",IF($W$23="Yes",'Data Tables'!AA7,'Data Tables'!AB7),IF($W$22="575-600",IF($W$23="Yes",'Data Tables'!AA7,'Data Tables'!AB7),IF($W$22="600-625",IF($W$23="Yes",'Data Tables'!AA7,'Data Tables'!AB7),IF($W$22="625-650",IF($W$23="Yes",'Data Tables'!AA7,'Data Tables'!AB7),IF($W$22="650-675",IF($W$23="Yes",'Data Tables'!AA7,'Data Tables'!AB7),IF($W$22="675-700",IF($W$23="Yes",'Data Tables'!AA7,'Data Tables'!AB7),IF($W$22="700-750",IF($W$23="Yes",'Data Tables'!AG7,'Data Tables'!AH7),IF($W$22="750-800",IF($W$23="Yes",'Data Tables'!AG7,'Data Tables'!AH7),IF($W$22="800-850",IF($W$23="Yes",'Data Tables'!AG7,'Data Tables'!AH7),IF($W$23="Yes",'Data Tables'!AG7,'Data Tables'!AH7)))))))))),IF($W$22="550-575",IF($W$23="Yes",'Data Tables'!AC7,'Data Tables'!AD7),IF($W$22="575-600",IF($W$23="Yes",'Data Tables'!AC7,'Data Tables'!AD7),IF($W$22="600-625",IF($W$23="Yes",'Data Tables'!AC7,'Data Tables'!AD7),IF($W$22="625-650",IF($W$23="Yes",'Data Tables'!AC7,'Data Tables'!AD7),IF($W$22="650-675",IF($W$23="Yes",'Data Tables'!AC7,'Data Tables'!AD7),IF($W$22="675-700",IF($W$23="Yes",'Data Tables'!AC7,'Data Tables'!AD7),IF($W$22="700-750",IF($W$23="Yes",'Data Tables'!AI7,'Data Tables'!AJ7),IF($W$22="750-800",IF($W$23="Yes",'Data Tables'!AI7,'Data Tables'!AJ7),IF($W$22="800-850",IF($W$23="Yes",'Data Tables'!AI7,'Data Tables'!AJ7),IF($W$23="Yes",'Data Tables'!AI7,'Data Tables'!AJ7))))))))))))),IF($W$20="Yare",(IF($W$21="Freely draining",IF($W$22="550-575",IF($W$23="Yes",'Data Tables'!Y18,'Data Tables'!Z18),IF($W$22="575-600",IF($W$23="Yes",'Data Tables'!Y18,'Data Tables'!Z18),IF($W$22="600-625",IF($W$23="Yes",'Data Tables'!Y18,'Data Tables'!Z18),IF($W$22="625-650",IF($W$23="Yes",'Data Tables'!Y18,'Data Tables'!Z18),IF($W$22="650-675",IF($W$23="Yes",'Data Tables'!Y18,'Data Tables'!Z18),IF($W$22="675-700",IF($W$23="Yes",'Data Tables'!Y18,'Data Tables'!Z18),IF($W$22="700-750",IF($W$23="Yes",'Data Tables'!AE18,'Data Tables'!AF18),IF($W$22="750-800",IF($W$23="Yes",'Data Tables'!AE18,'Data Tables'!AF18),IF($W$22="800-850",IF($W$23="Yes",'Data Tables'!AE18,'Data Tables'!AF18),IF($W$23="Yes",'Data Tables'!AE18,'Data Tables'!AF18)))))))))),IF($W$21="Impermeable - drained for arable",IF($W$22="550-575",IF($W$23="Yes",'Data Tables'!AA18,'Data Tables'!AB18),IF($W$22="575-600",IF($W$23="Yes",'Data Tables'!AA18,'Data Tables'!AB18),IF($W$22="600-625",IF($W$23="Yes",'Data Tables'!AA18,'Data Tables'!AB18),IF($W$22="625-650",IF($W$23="Yes",'Data Tables'!AA18,'Data Tables'!AB18),IF($W$22="650-675",IF($W$23="Yes",'Data Tables'!AA18,'Data Tables'!AB18),IF($W$22="675-700",IF($W$23="Yes",'Data Tables'!AA18,'Data Tables'!AB18),IF($W$22="700-750",IF($W$23="Yes",'Data Tables'!AG18,'Data Tables'!AH18),IF($W$22="750-800",IF($W$23="Yes",'Data Tables'!AG18,'Data Tables'!AH18),IF($W$22="800-850",IF($W$23="Yes",'Data Tables'!AG18,'Data Tables'!AH18),IF($W$23="Yes",'Data Tables'!AG18,'Data Tables'!AH18)))))))))),IF($W$22="550-575",IF($W$23="Yes",'Data Tables'!AC18,'Data Tables'!AD18),IF($W$22="575-600",IF($W$23="Yes",'Data Tables'!AC18,'Data Tables'!AD18),IF($W$22="600-625",IF($W$23="Yes",'Data Tables'!AC18,'Data Tables'!AD18),IF($W$22="625-650",IF($W$23="Yes",'Data Tables'!AC18,'Data Tables'!AD18),IF($W$22="650-675",IF($W$23="Yes",'Data Tables'!AC18,'Data Tables'!AD18),IF($W$22="675-700",IF($W$23="Yes",'Data Tables'!AC18,'Data Tables'!AD18),IF($W$22="700-750",IF($W$23="Yes",'Data Tables'!AI18,'Data Tables'!AJ18),IF($W$22="750-800",IF($W$23="Yes",'Data Tables'!AI18,'Data Tables'!AJ18),IF($W$22="800-850",IF($W$23="Yes",'Data Tables'!AI18,'Data Tables'!AJ18),IF($W$23="Yes",'Data Tables'!AI18,'Data Tables'!AJ18))))))))))))),(IF($W$21="Freely draining",IF($W$22="550-575",IF($W$23="Yes",'Data Tables'!S29,'Data Tables'!T29),IF($W$22="575-600",IF($W$23="Yes",'Data Tables'!S29,'Data Tables'!T29),IF($W$22="600-625",IF($W$23="Yes",'Data Tables'!Y29,'Data Tables'!Z29),IF($W$22="625-650",IF($W$23="Yes",'Data Tables'!Y29,'Data Tables'!Z29),IF($W$22="650-675",IF($W$23="Yes",'Data Tables'!Y29,'Data Tables'!Z29),IF($W$22="675-700",IF($W$23="Yes",'Data Tables'!Y29,'Data Tables'!Z29),IF($W$22="700-750",IF($W$23="Yes",'Data Tables'!AE29,'Data Tables'!AF29),IF($W$22="750-800",IF($W$23="Yes",'Data Tables'!AE29,'Data Tables'!AF29),IF($W$22="800-850",IF($W$23="Yes",'Data Tables'!AE29,'Data Tables'!AF29),IF($W$23="Yes",'Data Tables'!AE29,'Data Tables'!AF29)))))))))),IF($W$21="Impermeable - drained for arable",IF($W$22="550-575",IF($W$23="Yes",'Data Tables'!U29,'Data Tables'!V29),IF($W$22="575-600",IF($W$23="Yes",'Data Tables'!U29,'Data Tables'!V29),IF($W$22="600-625",IF($W$23="Yes",'Data Tables'!AA29,'Data Tables'!AB29),IF($W$22="625-650",IF($W$23="Yes",'Data Tables'!AA29,'Data Tables'!AB29),IF($W$22="650-675",IF($W$23="Yes",'Data Tables'!AA29,'Data Tables'!AB29),IF($W$22="675-700",IF($W$23="Yes",'Data Tables'!AA29,'Data Tables'!AB29),IF($W$22="700-750",IF($W$23="Yes",'Data Tables'!AG29,'Data Tables'!AH29),IF($W$22="750-800",IF($W$23="Yes",'Data Tables'!AG29,'Data Tables'!AH29),IF($W$22="800-850",IF($W$23="Yes",'Data Tables'!AG29,'Data Tables'!AH29),IF($W$23="Yes",'Data Tables'!AG29,'Data Tables'!AH29)))))))))),IF($W$22="550-575",IF($W$23="Yes",'Data Tables'!W29,'Data Tables'!X29),IF($W$22="575-600",IF($W$23="Yes",'Data Tables'!W29,'Data Tables'!X29),IF($W$22="600-625",IF($W$23="Yes",'Data Tables'!AC29,'Data Tables'!AD29),IF($W$22="625-650",IF($W$23="Yes",'Data Tables'!AC29,'Data Tables'!AD29),IF($W$22="650-675",IF($W$23="Yes",'Data Tables'!AC29,'Data Tables'!AD29),IF($W$22="675-700",IF($W$23="Yes",'Data Tables'!AC29,'Data Tables'!AD29),IF($W$22="700-750",IF($W$23="Yes",'Data Tables'!AI29,'Data Tables'!AJ29),IF($W$22="750-800",IF($W$23="Yes",'Data Tables'!AI29,'Data Tables'!AJ29),IF($W$22="800-850",IF($W$23="Yes",'Data Tables'!AI29,'Data Tables'!AJ29),IF($W$23="Yes",'Data Tables'!AI29,'Data Tables'!AJ29))))))))))))))),0),"")</f>
        <v/>
      </c>
      <c r="Z33" s="323"/>
      <c r="AA33" s="306"/>
    </row>
    <row r="34" spans="2:27" ht="16.2" customHeight="1">
      <c r="B34" s="46"/>
      <c r="C34" s="222"/>
      <c r="D34" s="222"/>
      <c r="E34" s="140" t="str">
        <f>'Stage 2'!F30</f>
        <v>Poultry</v>
      </c>
      <c r="F34" s="140"/>
      <c r="G34" s="140"/>
      <c r="H34" s="140"/>
      <c r="I34" s="140"/>
      <c r="J34" s="49"/>
      <c r="K34" s="308" t="str">
        <f>IF('Stage 2'!$K30&gt;0,'Stage 2'!O30/'Stage 2'!$K30,"")</f>
        <v/>
      </c>
      <c r="L34" s="225"/>
      <c r="M34" s="233" t="s">
        <v>269</v>
      </c>
      <c r="N34" s="235" t="s">
        <v>413</v>
      </c>
      <c r="O34" s="252"/>
      <c r="P34" s="49"/>
      <c r="Q34" s="49"/>
      <c r="R34" s="140" t="str">
        <f>E34</f>
        <v>Poultry</v>
      </c>
      <c r="S34" s="140"/>
      <c r="T34" s="140"/>
      <c r="U34" s="140"/>
      <c r="V34" s="140"/>
      <c r="W34" s="233" t="s">
        <v>269</v>
      </c>
      <c r="X34" s="49"/>
      <c r="Y34" s="279" t="str">
        <f>IF($W$15="Yes",IF($W34="Yes",IF($W$20="Wensum",(IF($W$21="Freely draining",IF($W$22="550-575",IF($W$23="Yes",'Data Tables'!Y8,'Data Tables'!Z8),IF($W$22="575-600",IF($W$23="Yes",'Data Tables'!Y8,'Data Tables'!Z8),IF($W$22="600-625",IF($W$23="Yes",'Data Tables'!Y8,'Data Tables'!Z8),IF($W$22="625-650",IF($W$23="Yes",'Data Tables'!Y8,'Data Tables'!Z8),IF($W$22="650-675",IF($W$23="Yes",'Data Tables'!Y8,'Data Tables'!Z8),IF($W$22="675-700",IF($W$23="Yes",'Data Tables'!Y8,'Data Tables'!Z8),IF($W$22="700-750",IF($W$23="Yes",'Data Tables'!AE8,'Data Tables'!AF8),IF($W$22="750-800",IF($W$23="Yes",'Data Tables'!AE8,'Data Tables'!AF8),IF($W$22="800-850",IF($W$23="Yes",'Data Tables'!AE8,'Data Tables'!AF8),IF($W$23="Yes",'Data Tables'!AE8,'Data Tables'!AF8)))))))))),IF($W$21="Impermeable - drained for arable",IF($W$22="550-575",IF($W$23="Yes",'Data Tables'!AA8,'Data Tables'!AB8),IF($W$22="575-600",IF($W$23="Yes",'Data Tables'!AA8,'Data Tables'!AB8),IF($W$22="600-625",IF($W$23="Yes",'Data Tables'!AA8,'Data Tables'!AB8),IF($W$22="625-650",IF($W$23="Yes",'Data Tables'!AA8,'Data Tables'!AB8),IF($W$22="650-675",IF($W$23="Yes",'Data Tables'!AA8,'Data Tables'!AB8),IF($W$22="675-700",IF($W$23="Yes",'Data Tables'!AA8,'Data Tables'!AB8),IF($W$22="700-750",IF($W$23="Yes",'Data Tables'!AG8,'Data Tables'!AH8),IF($W$22="750-800",IF($W$23="Yes",'Data Tables'!AG8,'Data Tables'!AH8),IF($W$22="800-850",IF($W$23="Yes",'Data Tables'!AG8,'Data Tables'!AH8),IF($W$23="Yes",'Data Tables'!AG8,'Data Tables'!AH8)))))))))),IF($W$22="550-575",IF($W$23="Yes",'Data Tables'!AC8,'Data Tables'!AD8),IF($W$22="575-600",IF($W$23="Yes",'Data Tables'!AC8,'Data Tables'!AD8),IF($W$22="600-625",IF($W$23="Yes",'Data Tables'!AC8,'Data Tables'!AD8),IF($W$22="625-650",IF($W$23="Yes",'Data Tables'!AC8,'Data Tables'!AD8),IF($W$22="650-675",IF($W$23="Yes",'Data Tables'!AC8,'Data Tables'!AD8),IF($W$22="675-700",IF($W$23="Yes",'Data Tables'!AC8,'Data Tables'!AD8),IF($W$22="700-750",IF($W$23="Yes",'Data Tables'!AI8,'Data Tables'!AJ8),IF($W$22="750-800",IF($W$23="Yes",'Data Tables'!AI8,'Data Tables'!AJ8),IF($W$22="800-850",IF($W$23="Yes",'Data Tables'!AI8,'Data Tables'!AJ8),IF($W$23="Yes",'Data Tables'!AI8,'Data Tables'!AJ8))))))))))))),IF($W$20="Yare",(IF($W$21="Freely draining",IF($W$22="550-575",IF($W$23="Yes",'Data Tables'!Y19,'Data Tables'!Z19),IF($W$22="575-600",IF($W$23="Yes",'Data Tables'!Y19,'Data Tables'!Z19),IF($W$22="600-625",IF($W$23="Yes",'Data Tables'!Y19,'Data Tables'!Z19),IF($W$22="625-650",IF($W$23="Yes",'Data Tables'!Y19,'Data Tables'!Z19),IF($W$22="650-675",IF($W$23="Yes",'Data Tables'!Y19,'Data Tables'!Z19),IF($W$22="675-700",IF($W$23="Yes",'Data Tables'!Y19,'Data Tables'!Z19),IF($W$22="700-750",IF($W$23="Yes",'Data Tables'!AE19,'Data Tables'!AF19),IF($W$22="750-800",IF($W$23="Yes",'Data Tables'!AE19,'Data Tables'!AF19),IF($W$22="800-850",IF($W$23="Yes",'Data Tables'!AE19,'Data Tables'!AF19),IF($W$23="Yes",'Data Tables'!AE19,'Data Tables'!AF19)))))))))),IF($W$21="Impermeable - drained for arable",IF($W$22="550-575",IF($W$23="Yes",'Data Tables'!AA19,'Data Tables'!AB19),IF($W$22="575-600",IF($W$23="Yes",'Data Tables'!AA19,'Data Tables'!AB19),IF($W$22="600-625",IF($W$23="Yes",'Data Tables'!AA19,'Data Tables'!AB19),IF($W$22="625-650",IF($W$23="Yes",'Data Tables'!AA19,'Data Tables'!AB19),IF($W$22="650-675",IF($W$23="Yes",'Data Tables'!AA19,'Data Tables'!AB19),IF($W$22="675-700",IF($W$23="Yes",'Data Tables'!AA19,'Data Tables'!AB19),IF($W$22="700-750",IF($W$23="Yes",'Data Tables'!AG19,'Data Tables'!AH19),IF($W$22="750-800",IF($W$23="Yes",'Data Tables'!AG19,'Data Tables'!AH19),IF($W$22="800-850",IF($W$23="Yes",'Data Tables'!AG19,'Data Tables'!AH19),IF($W$23="Yes",'Data Tables'!AG19,'Data Tables'!AH19)))))))))),IF($W$22="550-575",IF($W$23="Yes",'Data Tables'!AC19,'Data Tables'!AD19),IF($W$22="575-600",IF($W$23="Yes",'Data Tables'!AC19,'Data Tables'!AD19),IF($W$22="600-625",IF($W$23="Yes",'Data Tables'!AC19,'Data Tables'!AD19),IF($W$22="625-650",IF($W$23="Yes",'Data Tables'!AC19,'Data Tables'!AD19),IF($W$22="650-675",IF($W$23="Yes",'Data Tables'!AC19,'Data Tables'!AD19),IF($W$22="675-700",IF($W$23="Yes",'Data Tables'!AC19,'Data Tables'!AD19),IF($W$22="700-750",IF($W$23="Yes",'Data Tables'!AI19,'Data Tables'!AJ19),IF($W$22="750-800",IF($W$23="Yes",'Data Tables'!AI19,'Data Tables'!AJ19),IF($W$22="800-850",IF($W$23="Yes",'Data Tables'!AI19,'Data Tables'!AJ19),IF($W$23="Yes",'Data Tables'!AI19,'Data Tables'!AJ19))))))))))))),(IF($W$21="Freely draining",IF($W$22="550-575",IF($W$23="Yes",'Data Tables'!S30,'Data Tables'!T30),IF($W$22="575-600",IF($W$23="Yes",'Data Tables'!S30,'Data Tables'!T30),IF($W$22="600-625",IF($W$23="Yes",'Data Tables'!Y30,'Data Tables'!Z30),IF($W$22="625-650",IF($W$23="Yes",'Data Tables'!Y30,'Data Tables'!Z30),IF($W$22="650-675",IF($W$23="Yes",'Data Tables'!Y30,'Data Tables'!Z30),IF($W$22="675-700",IF($W$23="Yes",'Data Tables'!Y30,'Data Tables'!Z30),IF($W$22="700-750",IF($W$23="Yes",'Data Tables'!AE30,'Data Tables'!AF30),IF($W$22="750-800",IF($W$23="Yes",'Data Tables'!AE30,'Data Tables'!AF30),IF($W$22="800-850",IF($W$23="Yes",'Data Tables'!AE30,'Data Tables'!AF30),IF($W$23="Yes",'Data Tables'!AE30,'Data Tables'!AF30)))))))))),IF($W$21="Impermeable - drained for arable",IF($W$22="550-575",IF($W$23="Yes",'Data Tables'!U30,'Data Tables'!V30),IF($W$22="575-600",IF($W$23="Yes",'Data Tables'!U30,'Data Tables'!V30),IF($W$22="600-625",IF($W$23="Yes",'Data Tables'!AA30,'Data Tables'!AB30),IF($W$22="625-650",IF($W$23="Yes",'Data Tables'!AA30,'Data Tables'!AB30),IF($W$22="650-675",IF($W$23="Yes",'Data Tables'!AA30,'Data Tables'!AB30),IF($W$22="675-700",IF($W$23="Yes",'Data Tables'!AA30,'Data Tables'!AB30),IF($W$22="700-750",IF($W$23="Yes",'Data Tables'!AG30,'Data Tables'!AH30),IF($W$22="750-800",IF($W$23="Yes",'Data Tables'!AG30,'Data Tables'!AH30),IF($W$22="800-850",IF($W$23="Yes",'Data Tables'!AG30,'Data Tables'!AH30),IF($W$23="Yes",'Data Tables'!AG30,'Data Tables'!AH30)))))))))),IF($W$22="550-575",IF($W$23="Yes",'Data Tables'!W30,'Data Tables'!X30),IF($W$22="575-600",IF($W$23="Yes",'Data Tables'!W30,'Data Tables'!X30),IF($W$22="600-625",IF($W$23="Yes",'Data Tables'!AC30,'Data Tables'!AD30),IF($W$22="625-650",IF($W$23="Yes",'Data Tables'!AC30,'Data Tables'!AD30),IF($W$22="650-675",IF($W$23="Yes",'Data Tables'!AC30,'Data Tables'!AD30),IF($W$22="675-700",IF($W$23="Yes",'Data Tables'!AC30,'Data Tables'!AD30),IF($W$22="700-750",IF($W$23="Yes",'Data Tables'!AI30,'Data Tables'!AJ30),IF($W$22="750-800",IF($W$23="Yes",'Data Tables'!AI30,'Data Tables'!AJ30),IF($W$22="800-850",IF($W$23="Yes",'Data Tables'!AI30,'Data Tables'!AJ30),IF($W$23="Yes",'Data Tables'!AI30,'Data Tables'!AJ30))))))))))))))),0),"")</f>
        <v/>
      </c>
      <c r="Z34" s="323"/>
      <c r="AA34" s="306"/>
    </row>
    <row r="35" spans="2:27" ht="16.2" customHeight="1">
      <c r="B35" s="46"/>
      <c r="C35" s="222"/>
      <c r="D35" s="222"/>
      <c r="E35" s="140" t="str">
        <f>'Stage 2'!F31</f>
        <v>Pigs</v>
      </c>
      <c r="F35" s="140"/>
      <c r="G35" s="140"/>
      <c r="H35" s="140"/>
      <c r="I35" s="140"/>
      <c r="J35" s="49"/>
      <c r="K35" s="308" t="str">
        <f>IF('Stage 2'!$K31&gt;0,'Stage 2'!O31/'Stage 2'!$K31,"")</f>
        <v/>
      </c>
      <c r="L35" s="225"/>
      <c r="M35" s="233" t="s">
        <v>269</v>
      </c>
      <c r="N35" s="235" t="s">
        <v>413</v>
      </c>
      <c r="O35" s="252"/>
      <c r="P35" s="49"/>
      <c r="Q35" s="49"/>
      <c r="R35" s="140" t="str">
        <f>E35</f>
        <v>Pigs</v>
      </c>
      <c r="S35" s="140"/>
      <c r="T35" s="140"/>
      <c r="U35" s="140"/>
      <c r="V35" s="140"/>
      <c r="W35" s="233" t="s">
        <v>269</v>
      </c>
      <c r="X35" s="49"/>
      <c r="Y35" s="279" t="str">
        <f>IF($W$15="Yes",IF($W35="Yes",IF($W$20="Wensum",(IF($W$21="Freely draining",IF($W$22="550-575",IF($W$23="Yes",'Data Tables'!Y9,'Data Tables'!Z9),IF($W$22="575-600",IF($W$23="Yes",'Data Tables'!Y9,'Data Tables'!Z9),IF($W$22="600-625",IF($W$23="Yes",'Data Tables'!Y9,'Data Tables'!Z9),IF($W$22="625-650",IF($W$23="Yes",'Data Tables'!Y9,'Data Tables'!Z9),IF($W$22="650-675",IF($W$23="Yes",'Data Tables'!Y9,'Data Tables'!Z9),IF($W$22="675-700",IF($W$23="Yes",'Data Tables'!Y9,'Data Tables'!Z9),IF($W$22="700-750",IF($W$23="Yes",'Data Tables'!AE9,'Data Tables'!AF9),IF($W$22="750-800",IF($W$23="Yes",'Data Tables'!AE9,'Data Tables'!AF9),IF($W$22="800-850",IF($W$23="Yes",'Data Tables'!AE9,'Data Tables'!AF9),IF($W$23="Yes",'Data Tables'!AE9,'Data Tables'!AF9)))))))))),IF($W$21="Impermeable - drained for arable",IF($W$22="550-575",IF($W$23="Yes",'Data Tables'!AA9,'Data Tables'!AB9),IF($W$22="575-600",IF($W$23="Yes",'Data Tables'!AA9,'Data Tables'!AB9),IF($W$22="600-625",IF($W$23="Yes",'Data Tables'!AA9,'Data Tables'!AB9),IF($W$22="625-650",IF($W$23="Yes",'Data Tables'!AA9,'Data Tables'!AB9),IF($W$22="650-675",IF($W$23="Yes",'Data Tables'!AA9,'Data Tables'!AB9),IF($W$22="675-700",IF($W$23="Yes",'Data Tables'!AA9,'Data Tables'!AB9),IF($W$22="700-750",IF($W$23="Yes",'Data Tables'!AG9,'Data Tables'!AH9),IF($W$22="750-800",IF($W$23="Yes",'Data Tables'!AG9,'Data Tables'!AH9),IF($W$22="800-850",IF($W$23="Yes",'Data Tables'!AG9,'Data Tables'!AH9),IF($W$23="Yes",'Data Tables'!AG9,'Data Tables'!AH9)))))))))),IF($W$22="550-575",IF($W$23="Yes",'Data Tables'!AC9,'Data Tables'!AD9),IF($W$22="575-600",IF($W$23="Yes",'Data Tables'!AC9,'Data Tables'!AD9),IF($W$22="600-625",IF($W$23="Yes",'Data Tables'!AC9,'Data Tables'!AD9),IF($W$22="625-650",IF($W$23="Yes",'Data Tables'!AC9,'Data Tables'!AD9),IF($W$22="650-675",IF($W$23="Yes",'Data Tables'!AC9,'Data Tables'!AD9),IF($W$22="675-700",IF($W$23="Yes",'Data Tables'!AC9,'Data Tables'!AD9),IF($W$22="700-750",IF($W$23="Yes",'Data Tables'!AI9,'Data Tables'!AJ9),IF($W$22="750-800",IF($W$23="Yes",'Data Tables'!AI9,'Data Tables'!AJ9),IF($W$22="800-850",IF($W$23="Yes",'Data Tables'!AI9,'Data Tables'!AJ9),IF($W$23="Yes",'Data Tables'!AI9,'Data Tables'!AJ9))))))))))))),IF($W$20="Yare",(IF($W$21="Freely draining",IF($W$22="550-575",IF($W$23="Yes",'Data Tables'!Y20,'Data Tables'!Z20),IF($W$22="575-600",IF($W$23="Yes",'Data Tables'!Y20,'Data Tables'!Z20),IF($W$22="600-625",IF($W$23="Yes",'Data Tables'!Y20,'Data Tables'!Z20),IF($W$22="625-650",IF($W$23="Yes",'Data Tables'!Y20,'Data Tables'!Z20),IF($W$22="650-675",IF($W$23="Yes",'Data Tables'!Y20,'Data Tables'!Z20),IF($W$22="675-700",IF($W$23="Yes",'Data Tables'!Y20,'Data Tables'!Z20),IF($W$22="700-750",IF($W$23="Yes",'Data Tables'!AE20,'Data Tables'!AF20),IF($W$22="750-800",IF($W$23="Yes",'Data Tables'!AE20,'Data Tables'!AF20),IF($W$22="800-850",IF($W$23="Yes",'Data Tables'!AE20,'Data Tables'!AF20),IF($W$23="Yes",'Data Tables'!AE20,'Data Tables'!AF20)))))))))),IF($W$21="Impermeable - drained for arable",IF($W$22="550-575",IF($W$23="Yes",'Data Tables'!AA20,'Data Tables'!AB20),IF($W$22="575-600",IF($W$23="Yes",'Data Tables'!AA20,'Data Tables'!AB20),IF($W$22="600-625",IF($W$23="Yes",'Data Tables'!AA20,'Data Tables'!AB20),IF($W$22="625-650",IF($W$23="Yes",'Data Tables'!AA20,'Data Tables'!AB20),IF($W$22="650-675",IF($W$23="Yes",'Data Tables'!AA20,'Data Tables'!AB20),IF($W$22="675-700",IF($W$23="Yes",'Data Tables'!AA20,'Data Tables'!AB20),IF($W$22="700-750",IF($W$23="Yes",'Data Tables'!AG20,'Data Tables'!AH20),IF($W$22="750-800",IF($W$23="Yes",'Data Tables'!AG20,'Data Tables'!AH20),IF($W$22="800-850",IF($W$23="Yes",'Data Tables'!AG20,'Data Tables'!AH20),IF($W$23="Yes",'Data Tables'!AG20,'Data Tables'!AH20)))))))))),IF($W$22="550-575",IF($W$23="Yes",'Data Tables'!AC20,'Data Tables'!AD20),IF($W$22="575-600",IF($W$23="Yes",'Data Tables'!AC20,'Data Tables'!AD20),IF($W$22="600-625",IF($W$23="Yes",'Data Tables'!AC20,'Data Tables'!AD20),IF($W$22="625-650",IF($W$23="Yes",'Data Tables'!AC20,'Data Tables'!AD20),IF($W$22="650-675",IF($W$23="Yes",'Data Tables'!AC20,'Data Tables'!AD20),IF($W$22="675-700",IF($W$23="Yes",'Data Tables'!AC20,'Data Tables'!AD20),IF($W$22="700-750",IF($W$23="Yes",'Data Tables'!AI20,'Data Tables'!AJ20),IF($W$22="750-800",IF($W$23="Yes",'Data Tables'!AI20,'Data Tables'!AJ20),IF($W$22="800-850",IF($W$23="Yes",'Data Tables'!AI20,'Data Tables'!AJ20),IF($W$23="Yes",'Data Tables'!AI20,'Data Tables'!AJ20))))))))))))),(IF($W$21="Freely draining",IF($W$22="550-575",IF($W$23="Yes",'Data Tables'!S31,'Data Tables'!T31),IF($W$22="575-600",IF($W$23="Yes",'Data Tables'!S31,'Data Tables'!T31),IF($W$22="600-625",IF($W$23="Yes",'Data Tables'!Y31,'Data Tables'!Z31),IF($W$22="625-650",IF($W$23="Yes",'Data Tables'!Y31,'Data Tables'!Z31),IF($W$22="650-675",IF($W$23="Yes",'Data Tables'!Y31,'Data Tables'!Z31),IF($W$22="675-700",IF($W$23="Yes",'Data Tables'!Y31,'Data Tables'!Z31),IF($W$22="700-750",IF($W$23="Yes",'Data Tables'!AE31,'Data Tables'!AF31),IF($W$22="750-800",IF($W$23="Yes",'Data Tables'!AE31,'Data Tables'!AF31),IF($W$22="800-850",IF($W$23="Yes",'Data Tables'!AE31,'Data Tables'!AF31),IF($W$23="Yes",'Data Tables'!AE31,'Data Tables'!AF31)))))))))),IF($W$21="Impermeable - drained for arable",IF($W$22="550-575",IF($W$23="Yes",'Data Tables'!U31,'Data Tables'!V31),IF($W$22="575-600",IF($W$23="Yes",'Data Tables'!U31,'Data Tables'!V31),IF($W$22="600-625",IF($W$23="Yes",'Data Tables'!AA31,'Data Tables'!AB31),IF($W$22="625-650",IF($W$23="Yes",'Data Tables'!AA31,'Data Tables'!AB31),IF($W$22="650-675",IF($W$23="Yes",'Data Tables'!AA31,'Data Tables'!AB31),IF($W$22="675-700",IF($W$23="Yes",'Data Tables'!AA31,'Data Tables'!AB31),IF($W$22="700-750",IF($W$23="Yes",'Data Tables'!AG31,'Data Tables'!AH31),IF($W$22="750-800",IF($W$23="Yes",'Data Tables'!AG31,'Data Tables'!AH31),IF($W$22="800-850",IF($W$23="Yes",'Data Tables'!AG31,'Data Tables'!AH31),IF($W$23="Yes",'Data Tables'!AG31,'Data Tables'!AH31)))))))))),IF($W$22="550-575",IF($W$23="Yes",'Data Tables'!W31,'Data Tables'!X31),IF($W$22="575-600",IF($W$23="Yes",'Data Tables'!W31,'Data Tables'!X31),IF($W$22="600-625",IF($W$23="Yes",'Data Tables'!AC31,'Data Tables'!AD31),IF($W$22="625-650",IF($W$23="Yes",'Data Tables'!AC31,'Data Tables'!AD31),IF($W$22="650-675",IF($W$23="Yes",'Data Tables'!AC31,'Data Tables'!AD31),IF($W$22="675-700",IF($W$23="Yes",'Data Tables'!AC31,'Data Tables'!AD31),IF($W$22="700-750",IF($W$23="Yes",'Data Tables'!AI31,'Data Tables'!AJ31),IF($W$22="750-800",IF($W$23="Yes",'Data Tables'!AI31,'Data Tables'!AJ31),IF($W$22="800-850",IF($W$23="Yes",'Data Tables'!AI31,'Data Tables'!AJ31),IF($W$23="Yes",'Data Tables'!AI31,'Data Tables'!AJ31))))))))))))))),0),"")</f>
        <v/>
      </c>
      <c r="Z35" s="323"/>
      <c r="AA35" s="306"/>
    </row>
    <row r="36" spans="2:27" ht="16.2" customHeight="1">
      <c r="B36" s="46"/>
      <c r="C36" s="222"/>
      <c r="D36" s="222"/>
      <c r="E36" s="140" t="str">
        <f>'Stage 2'!F32</f>
        <v>Horticulture</v>
      </c>
      <c r="F36" s="140"/>
      <c r="G36" s="140"/>
      <c r="H36" s="140"/>
      <c r="I36" s="140"/>
      <c r="J36" s="49"/>
      <c r="K36" s="308" t="str">
        <f>IF('Stage 2'!$K32&gt;0,'Stage 2'!O32/'Stage 2'!$K32,"")</f>
        <v/>
      </c>
      <c r="L36" s="225"/>
      <c r="M36" s="233" t="s">
        <v>269</v>
      </c>
      <c r="N36" s="235" t="s">
        <v>413</v>
      </c>
      <c r="O36" s="252"/>
      <c r="P36" s="49"/>
      <c r="Q36" s="49"/>
      <c r="R36" s="140" t="str">
        <f>E36</f>
        <v>Horticulture</v>
      </c>
      <c r="S36" s="140"/>
      <c r="T36" s="140"/>
      <c r="U36" s="140"/>
      <c r="V36" s="140"/>
      <c r="W36" s="233" t="s">
        <v>269</v>
      </c>
      <c r="X36" s="49"/>
      <c r="Y36" s="279" t="str">
        <f>IF($W$15="Yes",IF($W36="Yes",IF($W$20="Wensum",(IF($W$21="Freely draining",IF($W$22="550-575",IF($W$23="Yes",'Data Tables'!Y10,'Data Tables'!Z10),IF($W$22="575-600",IF($W$23="Yes",'Data Tables'!Y10,'Data Tables'!Z10),IF($W$22="600-625",IF($W$23="Yes",'Data Tables'!Y10,'Data Tables'!Z10),IF($W$22="625-650",IF($W$23="Yes",'Data Tables'!Y10,'Data Tables'!Z10),IF($W$22="650-675",IF($W$23="Yes",'Data Tables'!Y10,'Data Tables'!Z10),IF($W$22="675-700",IF($W$23="Yes",'Data Tables'!Y10,'Data Tables'!Z10),IF($W$22="700-750",IF($W$23="Yes",'Data Tables'!AE10,'Data Tables'!AF10),IF($W$22="750-800",IF($W$23="Yes",'Data Tables'!AE10,'Data Tables'!AF10),IF($W$22="800-850",IF($W$23="Yes",'Data Tables'!AE10,'Data Tables'!AF10),IF($W$23="Yes",'Data Tables'!AE10,'Data Tables'!AF10)))))))))),IF($W$21="Impermeable - drained for arable",IF($W$22="550-575",IF($W$23="Yes",'Data Tables'!AA10,'Data Tables'!AB10),IF($W$22="575-600",IF($W$23="Yes",'Data Tables'!AA10,'Data Tables'!AB10),IF($W$22="600-625",IF($W$23="Yes",'Data Tables'!AA10,'Data Tables'!AB10),IF($W$22="625-650",IF($W$23="Yes",'Data Tables'!AA10,'Data Tables'!AB10),IF($W$22="650-675",IF($W$23="Yes",'Data Tables'!AA10,'Data Tables'!AB10),IF($W$22="675-700",IF($W$23="Yes",'Data Tables'!AA10,'Data Tables'!AB10),IF($W$22="700-750",IF($W$23="Yes",'Data Tables'!AG10,'Data Tables'!AH10),IF($W$22="750-800",IF($W$23="Yes",'Data Tables'!AG10,'Data Tables'!AH10),IF($W$22="800-850",IF($W$23="Yes",'Data Tables'!AG10,'Data Tables'!AH10),IF($W$23="Yes",'Data Tables'!AG10,'Data Tables'!AH10)))))))))),IF($W$22="550-575",IF($W$23="Yes",'Data Tables'!AC10,'Data Tables'!AD10),IF($W$22="575-600",IF($W$23="Yes",'Data Tables'!AC10,'Data Tables'!AD10),IF($W$22="600-625",IF($W$23="Yes",'Data Tables'!AC10,'Data Tables'!AD10),IF($W$22="625-650",IF($W$23="Yes",'Data Tables'!AC10,'Data Tables'!AD10),IF($W$22="650-675",IF($W$23="Yes",'Data Tables'!AC10,'Data Tables'!AD10),IF($W$22="675-700",IF($W$23="Yes",'Data Tables'!AC10,'Data Tables'!AD10),IF($W$22="700-750",IF($W$23="Yes",'Data Tables'!AI10,'Data Tables'!AJ10),IF($W$22="750-800",IF($W$23="Yes",'Data Tables'!AI10,'Data Tables'!AJ10),IF($W$22="800-850",IF($W$23="Yes",'Data Tables'!AI10,'Data Tables'!AJ10),IF($W$23="Yes",'Data Tables'!AI10,'Data Tables'!AJ10))))))))))))),IF($W$20="Yare",(IF($W$21="Freely draining",IF($W$22="550-575",IF($W$23="Yes",'Data Tables'!Y21,'Data Tables'!Z21),IF($W$22="575-600",IF($W$23="Yes",'Data Tables'!Y21,'Data Tables'!Z21),IF($W$22="600-625",IF($W$23="Yes",'Data Tables'!Y21,'Data Tables'!Z21),IF($W$22="625-650",IF($W$23="Yes",'Data Tables'!Y21,'Data Tables'!Z21),IF($W$22="650-675",IF($W$23="Yes",'Data Tables'!Y21,'Data Tables'!Z21),IF($W$22="675-700",IF($W$23="Yes",'Data Tables'!Y21,'Data Tables'!Z21),IF($W$22="700-750",IF($W$23="Yes",'Data Tables'!AE21,'Data Tables'!AF21),IF($W$22="750-800",IF($W$23="Yes",'Data Tables'!AE21,'Data Tables'!AF21),IF($W$22="800-850",IF($W$23="Yes",'Data Tables'!AE21,'Data Tables'!AF21),IF($W$23="Yes",'Data Tables'!AE21,'Data Tables'!AF21)))))))))),IF($W$21="Impermeable - drained for arable",IF($W$22="550-575",IF($W$23="Yes",'Data Tables'!AA21,'Data Tables'!AB21),IF($W$22="575-600",IF($W$23="Yes",'Data Tables'!AA21,'Data Tables'!AB21),IF($W$22="600-625",IF($W$23="Yes",'Data Tables'!AA21,'Data Tables'!AB21),IF($W$22="625-650",IF($W$23="Yes",'Data Tables'!AA21,'Data Tables'!AB21),IF($W$22="650-675",IF($W$23="Yes",'Data Tables'!AA21,'Data Tables'!AB21),IF($W$22="675-700",IF($W$23="Yes",'Data Tables'!AA21,'Data Tables'!AB21),IF($W$22="700-750",IF($W$23="Yes",'Data Tables'!AG21,'Data Tables'!AH21),IF($W$22="750-800",IF($W$23="Yes",'Data Tables'!AG21,'Data Tables'!AH21),IF($W$22="800-850",IF($W$23="Yes",'Data Tables'!AG21,'Data Tables'!AH21),IF($W$23="Yes",'Data Tables'!AG21,'Data Tables'!AH21)))))))))),IF($W$22="550-575",IF($W$23="Yes",'Data Tables'!AC21,'Data Tables'!AD21),IF($W$22="575-600",IF($W$23="Yes",'Data Tables'!AC21,'Data Tables'!AD21),IF($W$22="600-625",IF($W$23="Yes",'Data Tables'!AC21,'Data Tables'!AD21),IF($W$22="625-650",IF($W$23="Yes",'Data Tables'!AC21,'Data Tables'!AD21),IF($W$22="650-675",IF($W$23="Yes",'Data Tables'!AC21,'Data Tables'!AD21),IF($W$22="675-700",IF($W$23="Yes",'Data Tables'!AC21,'Data Tables'!AD21),IF($W$22="700-750",IF($W$23="Yes",'Data Tables'!AI21,'Data Tables'!AJ21),IF($W$22="750-800",IF($W$23="Yes",'Data Tables'!AI21,'Data Tables'!AJ21),IF($W$22="800-850",IF($W$23="Yes",'Data Tables'!AI21,'Data Tables'!AJ21),IF($W$23="Yes",'Data Tables'!AI21,'Data Tables'!AJ21))))))))))))),(IF($W$21="Freely draining",IF($W$22="550-575",IF($W$23="Yes",'Data Tables'!S32,'Data Tables'!T32),IF($W$22="575-600",IF($W$23="Yes",'Data Tables'!S32,'Data Tables'!T32),IF($W$22="600-625",IF($W$23="Yes",'Data Tables'!Y32,'Data Tables'!Z32),IF($W$22="625-650",IF($W$23="Yes",'Data Tables'!Y32,'Data Tables'!Z32),IF($W$22="650-675",IF($W$23="Yes",'Data Tables'!Y32,'Data Tables'!Z32),IF($W$22="675-700",IF($W$23="Yes",'Data Tables'!Y32,'Data Tables'!Z32),IF($W$22="700-750",IF($W$23="Yes",'Data Tables'!AE32,'Data Tables'!AF32),IF($W$22="750-800",IF($W$23="Yes",'Data Tables'!AE32,'Data Tables'!AF32),IF($W$22="800-850",IF($W$23="Yes",'Data Tables'!AE32,'Data Tables'!AF32),IF($W$23="Yes",'Data Tables'!AE32,'Data Tables'!AF32)))))))))),IF($W$21="Impermeable - drained for arable",IF($W$22="550-575",IF($W$23="Yes",'Data Tables'!U32,'Data Tables'!V32),IF($W$22="575-600",IF($W$23="Yes",'Data Tables'!U32,'Data Tables'!V32),IF($W$22="600-625",IF($W$23="Yes",'Data Tables'!AA32,'Data Tables'!AB32),IF($W$22="625-650",IF($W$23="Yes",'Data Tables'!AA32,'Data Tables'!AB32),IF($W$22="650-675",IF($W$23="Yes",'Data Tables'!AA32,'Data Tables'!AB32),IF($W$22="675-700",IF($W$23="Yes",'Data Tables'!AA32,'Data Tables'!AB32),IF($W$22="700-750",IF($W$23="Yes",'Data Tables'!AG32,'Data Tables'!AH32),IF($W$22="750-800",IF($W$23="Yes",'Data Tables'!AG32,'Data Tables'!AH32),IF($W$22="800-850",IF($W$23="Yes",'Data Tables'!AG32,'Data Tables'!AH32),IF($W$23="Yes",'Data Tables'!AG32,'Data Tables'!AH32)))))))))),IF($W$22="550-575",IF($W$23="Yes",'Data Tables'!W32,'Data Tables'!X32),IF($W$22="575-600",IF($W$23="Yes",'Data Tables'!W32,'Data Tables'!X32),IF($W$22="600-625",IF($W$23="Yes",'Data Tables'!AC32,'Data Tables'!AD32),IF($W$22="625-650",IF($W$23="Yes",'Data Tables'!AC32,'Data Tables'!AD32),IF($W$22="650-675",IF($W$23="Yes",'Data Tables'!AC32,'Data Tables'!AD32),IF($W$22="675-700",IF($W$23="Yes",'Data Tables'!AC32,'Data Tables'!AD32),IF($W$22="700-750",IF($W$23="Yes",'Data Tables'!AI32,'Data Tables'!AJ32),IF($W$22="750-800",IF($W$23="Yes",'Data Tables'!AI32,'Data Tables'!AJ32),IF($W$22="800-850",IF($W$23="Yes",'Data Tables'!AI32,'Data Tables'!AJ32),IF($W$23="Yes",'Data Tables'!AI32,'Data Tables'!AJ32))))))))))))))),0),"")</f>
        <v/>
      </c>
      <c r="Z36" s="323"/>
      <c r="AA36" s="306"/>
    </row>
    <row r="37" spans="2:27" ht="16.2" customHeight="1">
      <c r="B37" s="46"/>
      <c r="C37" s="222"/>
      <c r="D37" s="222"/>
      <c r="E37" s="140" t="str">
        <f>'Stage 2'!F33</f>
        <v>Cereals</v>
      </c>
      <c r="F37" s="140"/>
      <c r="G37" s="140"/>
      <c r="H37" s="140"/>
      <c r="I37" s="140"/>
      <c r="J37" s="49"/>
      <c r="K37" s="308" t="str">
        <f>IF('Stage 2'!$K33&gt;0,'Stage 2'!O33/'Stage 2'!$K33,"")</f>
        <v/>
      </c>
      <c r="L37" s="225"/>
      <c r="M37" s="233" t="s">
        <v>269</v>
      </c>
      <c r="N37" s="235" t="s">
        <v>413</v>
      </c>
      <c r="O37" s="252"/>
      <c r="P37" s="49"/>
      <c r="Q37" s="49"/>
      <c r="R37" s="140" t="str">
        <f>E37</f>
        <v>Cereals</v>
      </c>
      <c r="S37" s="140"/>
      <c r="T37" s="140"/>
      <c r="U37" s="140"/>
      <c r="V37" s="140"/>
      <c r="W37" s="233" t="s">
        <v>269</v>
      </c>
      <c r="X37" s="49"/>
      <c r="Y37" s="279" t="str">
        <f>IF($W$15="Yes",IF($W37="Yes",IF($W$20="Wensum",(IF($W$21="Freely draining",IF($W$22="550-575",IF($W$23="Yes",'Data Tables'!Y11,'Data Tables'!Z11),IF($W$22="575-600",IF($W$23="Yes",'Data Tables'!Y11,'Data Tables'!Z11),IF($W$22="600-625",IF($W$23="Yes",'Data Tables'!Y11,'Data Tables'!Z11),IF($W$22="625-650",IF($W$23="Yes",'Data Tables'!Y11,'Data Tables'!Z11),IF($W$22="650-675",IF($W$23="Yes",'Data Tables'!Y11,'Data Tables'!Z11),IF($W$22="675-700",IF($W$23="Yes",'Data Tables'!Y11,'Data Tables'!Z11),IF($W$22="700-750",IF($W$23="Yes",'Data Tables'!AE11,'Data Tables'!AF11),IF($W$22="750-800",IF($W$23="Yes",'Data Tables'!AE11,'Data Tables'!AF11),IF($W$22="800-850",IF($W$23="Yes",'Data Tables'!AE11,'Data Tables'!AF11),IF($W$23="Yes",'Data Tables'!AE11,'Data Tables'!AF11)))))))))),IF($W$21="Impermeable - drained for arable",IF($W$22="550-575",IF($W$23="Yes",'Data Tables'!AA11,'Data Tables'!AB11),IF($W$22="575-600",IF($W$23="Yes",'Data Tables'!AA11,'Data Tables'!AB11),IF($W$22="600-625",IF($W$23="Yes",'Data Tables'!AA11,'Data Tables'!AB11),IF($W$22="625-650",IF($W$23="Yes",'Data Tables'!AA11,'Data Tables'!AB11),IF($W$22="650-675",IF($W$23="Yes",'Data Tables'!AA11,'Data Tables'!AB11),IF($W$22="675-700",IF($W$23="Yes",'Data Tables'!AA11,'Data Tables'!AB11),IF($W$22="700-750",IF($W$23="Yes",'Data Tables'!AG11,'Data Tables'!AH11),IF($W$22="750-800",IF($W$23="Yes",'Data Tables'!AG11,'Data Tables'!AH11),IF($W$22="800-850",IF($W$23="Yes",'Data Tables'!AG11,'Data Tables'!AH11),IF($W$23="Yes",'Data Tables'!AG11,'Data Tables'!AH11)))))))))),IF($W$22="550-575",IF($W$23="Yes",'Data Tables'!AC11,'Data Tables'!AD11),IF($W$22="575-600",IF($W$23="Yes",'Data Tables'!AC11,'Data Tables'!AD11),IF($W$22="600-625",IF($W$23="Yes",'Data Tables'!AC11,'Data Tables'!AD11),IF($W$22="625-650",IF($W$23="Yes",'Data Tables'!AC11,'Data Tables'!AD11),IF($W$22="650-675",IF($W$23="Yes",'Data Tables'!AC11,'Data Tables'!AD11),IF($W$22="675-700",IF($W$23="Yes",'Data Tables'!AC11,'Data Tables'!AD11),IF($W$22="700-750",IF($W$23="Yes",'Data Tables'!AI11,'Data Tables'!AJ11),IF($W$22="750-800",IF($W$23="Yes",'Data Tables'!AI11,'Data Tables'!AJ11),IF($W$22="800-850",IF($W$23="Yes",'Data Tables'!AI11,'Data Tables'!AJ11),IF($W$23="Yes",'Data Tables'!AI11,'Data Tables'!AJ11))))))))))))),IF($W$20="Yare",(IF($W$21="Freely draining",IF($W$22="550-575",IF($W$23="Yes",'Data Tables'!Y22,'Data Tables'!Z22),IF($W$22="575-600",IF($W$23="Yes",'Data Tables'!Y22,'Data Tables'!Z22),IF($W$22="600-625",IF($W$23="Yes",'Data Tables'!Y22,'Data Tables'!Z22),IF($W$22="625-650",IF($W$23="Yes",'Data Tables'!Y22,'Data Tables'!Z22),IF($W$22="650-675",IF($W$23="Yes",'Data Tables'!Y22,'Data Tables'!Z22),IF($W$22="675-700",IF($W$23="Yes",'Data Tables'!Y22,'Data Tables'!Z22),IF($W$22="700-750",IF($W$23="Yes",'Data Tables'!AE22,'Data Tables'!AF22),IF($W$22="750-800",IF($W$23="Yes",'Data Tables'!AE22,'Data Tables'!AF22),IF($W$22="800-850",IF($W$23="Yes",'Data Tables'!AE22,'Data Tables'!AF22),IF($W$23="Yes",'Data Tables'!AE22,'Data Tables'!AF22)))))))))),IF($W$21="Impermeable - drained for arable",IF($W$22="550-575",IF($W$23="Yes",'Data Tables'!AA22,'Data Tables'!AB22),IF($W$22="575-600",IF($W$23="Yes",'Data Tables'!AA22,'Data Tables'!AB22),IF($W$22="600-625",IF($W$23="Yes",'Data Tables'!AA22,'Data Tables'!AB22),IF($W$22="625-650",IF($W$23="Yes",'Data Tables'!AA22,'Data Tables'!AB22),IF($W$22="650-675",IF($W$23="Yes",'Data Tables'!AA22,'Data Tables'!AB22),IF($W$22="675-700",IF($W$23="Yes",'Data Tables'!AA22,'Data Tables'!AB22),IF($W$22="700-750",IF($W$23="Yes",'Data Tables'!AG22,'Data Tables'!AH22),IF($W$22="750-800",IF($W$23="Yes",'Data Tables'!AG22,'Data Tables'!AH22),IF($W$22="800-850",IF($W$23="Yes",'Data Tables'!AG22,'Data Tables'!AH22),IF($W$23="Yes",'Data Tables'!AG22,'Data Tables'!AH22)))))))))),IF($W$22="550-575",IF($W$23="Yes",'Data Tables'!AC22,'Data Tables'!AD22),IF($W$22="575-600",IF($W$23="Yes",'Data Tables'!AC22,'Data Tables'!AD22),IF($W$22="600-625",IF($W$23="Yes",'Data Tables'!AC22,'Data Tables'!AD22),IF($W$22="625-650",IF($W$23="Yes",'Data Tables'!AC22,'Data Tables'!AD22),IF($W$22="650-675",IF($W$23="Yes",'Data Tables'!AC22,'Data Tables'!AD22),IF($W$22="675-700",IF($W$23="Yes",'Data Tables'!AC22,'Data Tables'!AD22),IF($W$22="700-750",IF($W$23="Yes",'Data Tables'!AI22,'Data Tables'!AJ22),IF($W$22="750-800",IF($W$23="Yes",'Data Tables'!AI22,'Data Tables'!AJ22),IF($W$22="800-850",IF($W$23="Yes",'Data Tables'!AI22,'Data Tables'!AJ22),IF($W$23="Yes",'Data Tables'!AI22,'Data Tables'!AJ22))))))))))))),(IF($W$21="Freely draining",IF($W$22="550-575",IF($W$23="Yes",'Data Tables'!S33,'Data Tables'!T33),IF($W$22="575-600",IF($W$23="Yes",'Data Tables'!S33,'Data Tables'!T33),IF($W$22="600-625",IF($W$23="Yes",'Data Tables'!Y33,'Data Tables'!Z33),IF($W$22="625-650",IF($W$23="Yes",'Data Tables'!Y33,'Data Tables'!Z33),IF($W$22="650-675",IF($W$23="Yes",'Data Tables'!Y33,'Data Tables'!Z33),IF($W$22="675-700",IF($W$23="Yes",'Data Tables'!Y33,'Data Tables'!Z33),IF($W$22="700-750",IF($W$23="Yes",'Data Tables'!AE33,'Data Tables'!AF33),IF($W$22="750-800",IF($W$23="Yes",'Data Tables'!AE33,'Data Tables'!AF33),IF($W$22="800-850",IF($W$23="Yes",'Data Tables'!AE33,'Data Tables'!AF33),IF($W$23="Yes",'Data Tables'!AE33,'Data Tables'!AF33)))))))))),IF($W$21="Impermeable - drained for arable",IF($W$22="550-575",IF($W$23="Yes",'Data Tables'!U33,'Data Tables'!V33),IF($W$22="575-600",IF($W$23="Yes",'Data Tables'!U33,'Data Tables'!V33),IF($W$22="600-625",IF($W$23="Yes",'Data Tables'!AA33,'Data Tables'!AB33),IF($W$22="625-650",IF($W$23="Yes",'Data Tables'!AA33,'Data Tables'!AB33),IF($W$22="650-675",IF($W$23="Yes",'Data Tables'!AA33,'Data Tables'!AB33),IF($W$22="675-700",IF($W$23="Yes",'Data Tables'!AA33,'Data Tables'!AB33),IF($W$22="700-750",IF($W$23="Yes",'Data Tables'!AG33,'Data Tables'!AH33),IF($W$22="750-800",IF($W$23="Yes",'Data Tables'!AG33,'Data Tables'!AH33),IF($W$22="800-850",IF($W$23="Yes",'Data Tables'!AG33,'Data Tables'!AH33),IF($W$23="Yes",'Data Tables'!AG33,'Data Tables'!AH33)))))))))),IF($W$22="550-575",IF($W$23="Yes",'Data Tables'!W33,'Data Tables'!X33),IF($W$22="575-600",IF($W$23="Yes",'Data Tables'!W33,'Data Tables'!X33),IF($W$22="600-625",IF($W$23="Yes",'Data Tables'!AC33,'Data Tables'!AD33),IF($W$22="625-650",IF($W$23="Yes",'Data Tables'!AC33,'Data Tables'!AD33),IF($W$22="650-675",IF($W$23="Yes",'Data Tables'!AC33,'Data Tables'!AD33),IF($W$22="675-700",IF($W$23="Yes",'Data Tables'!AC33,'Data Tables'!AD33),IF($W$22="700-750",IF($W$23="Yes",'Data Tables'!AI33,'Data Tables'!AJ33),IF($W$22="750-800",IF($W$23="Yes",'Data Tables'!AI33,'Data Tables'!AJ33),IF($W$22="800-850",IF($W$23="Yes",'Data Tables'!AI33,'Data Tables'!AJ33),IF($W$23="Yes",'Data Tables'!AI33,'Data Tables'!AJ33))))))))))))))),0),"")</f>
        <v/>
      </c>
      <c r="Z37" s="323"/>
      <c r="AA37" s="306"/>
    </row>
    <row r="38" spans="2:27" ht="16.2" customHeight="1">
      <c r="B38" s="46"/>
      <c r="C38" s="222"/>
      <c r="D38" s="222"/>
      <c r="E38" s="140" t="str">
        <f>'Stage 2'!F34</f>
        <v>General arable</v>
      </c>
      <c r="F38" s="140"/>
      <c r="G38" s="140"/>
      <c r="H38" s="140"/>
      <c r="I38" s="140"/>
      <c r="J38" s="49"/>
      <c r="K38" s="308" t="str">
        <f>IF('Stage 2'!$K34&gt;0,'Stage 2'!O34/'Stage 2'!$K34,"")</f>
        <v/>
      </c>
      <c r="L38" s="225"/>
      <c r="M38" s="233" t="s">
        <v>269</v>
      </c>
      <c r="N38" s="235" t="s">
        <v>413</v>
      </c>
      <c r="O38" s="252"/>
      <c r="P38" s="49"/>
      <c r="Q38" s="49"/>
      <c r="R38" s="140" t="str">
        <f>E38</f>
        <v>General arable</v>
      </c>
      <c r="S38" s="140"/>
      <c r="T38" s="140"/>
      <c r="U38" s="140"/>
      <c r="V38" s="140"/>
      <c r="W38" s="233" t="s">
        <v>269</v>
      </c>
      <c r="X38" s="49"/>
      <c r="Y38" s="279" t="str">
        <f>IF($W$15="Yes",IF($W38="Yes",IF($W$20="Wensum",(IF($W$21="Freely draining",IF($W$22="550-575",IF($W$23="Yes",'Data Tables'!Y12,'Data Tables'!Z12),IF($W$22="575-600",IF($W$23="Yes",'Data Tables'!Y12,'Data Tables'!Z12),IF($W$22="600-625",IF($W$23="Yes",'Data Tables'!Y12,'Data Tables'!Z12),IF($W$22="625-650",IF($W$23="Yes",'Data Tables'!Y12,'Data Tables'!Z12),IF($W$22="650-675",IF($W$23="Yes",'Data Tables'!Y12,'Data Tables'!Z12),IF($W$22="675-700",IF($W$23="Yes",'Data Tables'!Y12,'Data Tables'!Z12),IF($W$22="700-750",IF($W$23="Yes",'Data Tables'!AE12,'Data Tables'!AF12),IF($W$22="750-800",IF($W$23="Yes",'Data Tables'!AE12,'Data Tables'!AF12),IF($W$22="800-850",IF($W$23="Yes",'Data Tables'!AE12,'Data Tables'!AF12),IF($W$23="Yes",'Data Tables'!AE12,'Data Tables'!AF12)))))))))),IF($W$21="Impermeable - drained for arable",IF($W$22="550-575",IF($W$23="Yes",'Data Tables'!AA12,'Data Tables'!AB12),IF($W$22="575-600",IF($W$23="Yes",'Data Tables'!AA12,'Data Tables'!AB12),IF($W$22="600-625",IF($W$23="Yes",'Data Tables'!AA12,'Data Tables'!AB12),IF($W$22="625-650",IF($W$23="Yes",'Data Tables'!AA12,'Data Tables'!AB12),IF($W$22="650-675",IF($W$23="Yes",'Data Tables'!AA12,'Data Tables'!AB12),IF($W$22="675-700",IF($W$23="Yes",'Data Tables'!AA12,'Data Tables'!AB12),IF($W$22="700-750",IF($W$23="Yes",'Data Tables'!AG12,'Data Tables'!AH12),IF($W$22="750-800",IF($W$23="Yes",'Data Tables'!AG12,'Data Tables'!AH12),IF($W$22="800-850",IF($W$23="Yes",'Data Tables'!AG12,'Data Tables'!AH12),IF($W$23="Yes",'Data Tables'!AG12,'Data Tables'!AH12)))))))))),IF($W$22="550-575",IF($W$23="Yes",'Data Tables'!AC12,'Data Tables'!AD12),IF($W$22="575-600",IF($W$23="Yes",'Data Tables'!AC12,'Data Tables'!AD12),IF($W$22="600-625",IF($W$23="Yes",'Data Tables'!AC12,'Data Tables'!AD12),IF($W$22="625-650",IF($W$23="Yes",'Data Tables'!AC12,'Data Tables'!AD12),IF($W$22="650-675",IF($W$23="Yes",'Data Tables'!AC12,'Data Tables'!AD12),IF($W$22="675-700",IF($W$23="Yes",'Data Tables'!AC12,'Data Tables'!AD12),IF($W$22="700-750",IF($W$23="Yes",'Data Tables'!AI12,'Data Tables'!AJ12),IF($W$22="750-800",IF($W$23="Yes",'Data Tables'!AI12,'Data Tables'!AJ12),IF($W$22="800-850",IF($W$23="Yes",'Data Tables'!AI12,'Data Tables'!AJ12),IF($W$23="Yes",'Data Tables'!AI12,'Data Tables'!AJ12))))))))))))),IF($W$20="Yare",(IF($W$21="Freely draining",IF($W$22="550-575",IF($W$23="Yes",'Data Tables'!Y23,'Data Tables'!Z23),IF($W$22="575-600",IF($W$23="Yes",'Data Tables'!Y23,'Data Tables'!Z23),IF($W$22="600-625",IF($W$23="Yes",'Data Tables'!Y23,'Data Tables'!Z23),IF($W$22="625-650",IF($W$23="Yes",'Data Tables'!Y23,'Data Tables'!Z23),IF($W$22="650-675",IF($W$23="Yes",'Data Tables'!Y23,'Data Tables'!Z23),IF($W$22="675-700",IF($W$23="Yes",'Data Tables'!Y23,'Data Tables'!Z23),IF($W$22="700-750",IF($W$23="Yes",'Data Tables'!AE23,'Data Tables'!AF23),IF($W$22="750-800",IF($W$23="Yes",'Data Tables'!AE23,'Data Tables'!AF23),IF($W$22="800-850",IF($W$23="Yes",'Data Tables'!AE23,'Data Tables'!AF23),IF($W$23="Yes",'Data Tables'!AE23,'Data Tables'!AF23)))))))))),IF($W$21="Impermeable - drained for arable",IF($W$22="550-575",IF($W$23="Yes",'Data Tables'!AA23,'Data Tables'!AB23),IF($W$22="575-600",IF($W$23="Yes",'Data Tables'!AA23,'Data Tables'!AB23),IF($W$22="600-625",IF($W$23="Yes",'Data Tables'!AA23,'Data Tables'!AB23),IF($W$22="625-650",IF($W$23="Yes",'Data Tables'!AA23,'Data Tables'!AB23),IF($W$22="650-675",IF($W$23="Yes",'Data Tables'!AA23,'Data Tables'!AB23),IF($W$22="675-700",IF($W$23="Yes",'Data Tables'!AA23,'Data Tables'!AB23),IF($W$22="700-750",IF($W$23="Yes",'Data Tables'!AG23,'Data Tables'!AH23),IF($W$22="750-800",IF($W$23="Yes",'Data Tables'!AG23,'Data Tables'!AH23),IF($W$22="800-850",IF($W$23="Yes",'Data Tables'!AG23,'Data Tables'!AH23),IF($W$23="Yes",'Data Tables'!AG23,'Data Tables'!AH23)))))))))),IF($W$22="550-575",IF($W$23="Yes",'Data Tables'!AC23,'Data Tables'!AD23),IF($W$22="575-600",IF($W$23="Yes",'Data Tables'!AC23,'Data Tables'!AD23),IF($W$22="600-625",IF($W$23="Yes",'Data Tables'!AC23,'Data Tables'!AD23),IF($W$22="625-650",IF($W$23="Yes",'Data Tables'!AC23,'Data Tables'!AD23),IF($W$22="650-675",IF($W$23="Yes",'Data Tables'!AC23,'Data Tables'!AD23),IF($W$22="675-700",IF($W$23="Yes",'Data Tables'!AC23,'Data Tables'!AD23),IF($W$22="700-750",IF($W$23="Yes",'Data Tables'!AI23,'Data Tables'!AJ23),IF($W$22="750-800",IF($W$23="Yes",'Data Tables'!AI23,'Data Tables'!AJ23),IF($W$22="800-850",IF($W$23="Yes",'Data Tables'!AI23,'Data Tables'!AJ23),IF($W$23="Yes",'Data Tables'!AI23,'Data Tables'!AJ23))))))))))))),(IF($W$21="Freely draining",IF($W$22="550-575",IF($W$23="Yes",'Data Tables'!S34,'Data Tables'!T34),IF($W$22="575-600",IF($W$23="Yes",'Data Tables'!S34,'Data Tables'!T34),IF($W$22="600-625",IF($W$23="Yes",'Data Tables'!Y34,'Data Tables'!Z34),IF($W$22="625-650",IF($W$23="Yes",'Data Tables'!Y34,'Data Tables'!Z34),IF($W$22="650-675",IF($W$23="Yes",'Data Tables'!Y34,'Data Tables'!Z34),IF($W$22="675-700",IF($W$23="Yes",'Data Tables'!Y34,'Data Tables'!Z34),IF($W$22="700-750",IF($W$23="Yes",'Data Tables'!AE34,'Data Tables'!AF34),IF($W$22="750-800",IF($W$23="Yes",'Data Tables'!AE34,'Data Tables'!AF34),IF($W$22="800-850",IF($W$23="Yes",'Data Tables'!AE34,'Data Tables'!AF34),IF($W$23="Yes",'Data Tables'!AE34,'Data Tables'!AF34)))))))))),IF($W$21="Impermeable - drained for arable",IF($W$22="550-575",IF($W$23="Yes",'Data Tables'!U34,'Data Tables'!V34),IF($W$22="575-600",IF($W$23="Yes",'Data Tables'!U34,'Data Tables'!V34),IF($W$22="600-625",IF($W$23="Yes",'Data Tables'!AA34,'Data Tables'!AB34),IF($W$22="625-650",IF($W$23="Yes",'Data Tables'!AA34,'Data Tables'!AB34),IF($W$22="650-675",IF($W$23="Yes",'Data Tables'!AA34,'Data Tables'!AB34),IF($W$22="675-700",IF($W$23="Yes",'Data Tables'!AA34,'Data Tables'!AB34),IF($W$22="700-750",IF($W$23="Yes",'Data Tables'!AG34,'Data Tables'!AH34),IF($W$22="750-800",IF($W$23="Yes",'Data Tables'!AG34,'Data Tables'!AH34),IF($W$22="800-850",IF($W$23="Yes",'Data Tables'!AG34,'Data Tables'!AH34),IF($W$23="Yes",'Data Tables'!AG34,'Data Tables'!AH34)))))))))),IF($W$22="550-575",IF($W$23="Yes",'Data Tables'!W34,'Data Tables'!X34),IF($W$22="575-600",IF($W$23="Yes",'Data Tables'!W34,'Data Tables'!X34),IF($W$22="600-625",IF($W$23="Yes",'Data Tables'!AC34,'Data Tables'!AD34),IF($W$22="625-650",IF($W$23="Yes",'Data Tables'!AC34,'Data Tables'!AD34),IF($W$22="650-675",IF($W$23="Yes",'Data Tables'!AC34,'Data Tables'!AD34),IF($W$22="675-700",IF($W$23="Yes",'Data Tables'!AC34,'Data Tables'!AD34),IF($W$22="700-750",IF($W$23="Yes",'Data Tables'!AI34,'Data Tables'!AJ34),IF($W$22="750-800",IF($W$23="Yes",'Data Tables'!AI34,'Data Tables'!AJ34),IF($W$22="800-850",IF($W$23="Yes",'Data Tables'!AI34,'Data Tables'!AJ34),IF($W$23="Yes",'Data Tables'!AI34,'Data Tables'!AJ34))))))))))))))),0),"")</f>
        <v/>
      </c>
      <c r="Z38" s="323"/>
      <c r="AA38" s="306"/>
    </row>
    <row r="39" spans="2:27" ht="16.2" customHeight="1">
      <c r="B39" s="46"/>
      <c r="C39" s="222"/>
      <c r="D39" s="222"/>
      <c r="E39" s="140" t="str">
        <f>'Stage 2'!F35</f>
        <v>Allotments and city farms</v>
      </c>
      <c r="F39" s="140"/>
      <c r="G39" s="140"/>
      <c r="H39" s="140"/>
      <c r="I39" s="140"/>
      <c r="J39" s="49"/>
      <c r="K39" s="284" t="str">
        <f>IF('Stage 2'!K35&gt;0,'Data Tables'!O3,"")</f>
        <v/>
      </c>
      <c r="L39" s="263"/>
      <c r="M39" s="233" t="s">
        <v>269</v>
      </c>
      <c r="N39" s="235" t="s">
        <v>413</v>
      </c>
      <c r="O39" s="252"/>
      <c r="P39" s="49"/>
      <c r="Q39" s="49"/>
      <c r="R39" s="140" t="str">
        <f>E39</f>
        <v>Allotments and city farms</v>
      </c>
      <c r="S39" s="140"/>
      <c r="T39" s="140"/>
      <c r="U39" s="140"/>
      <c r="V39" s="140"/>
      <c r="W39" s="233" t="s">
        <v>269</v>
      </c>
      <c r="X39" s="49"/>
      <c r="Y39" s="279" t="str">
        <f>IF($W$15="Yes",IF($W39="Yes",IF($W$20="Wensum",(IF($W$21="Freely draining",IF($W$22="550-575",IF($W$23="Yes",'Data Tables'!Y13,'Data Tables'!Z13),IF($W$22="575-600",IF($W$23="Yes",'Data Tables'!Y13,'Data Tables'!Z13),IF($W$22="600-625",IF($W$23="Yes",'Data Tables'!Y13,'Data Tables'!Z13),IF($W$22="625-650",IF($W$23="Yes",'Data Tables'!Y13,'Data Tables'!Z13),IF($W$22="650-675",IF($W$23="Yes",'Data Tables'!Y13,'Data Tables'!Z13),IF($W$22="675-700",IF($W$23="Yes",'Data Tables'!Y13,'Data Tables'!Z13),IF($W$22="700-750",IF($W$23="Yes",'Data Tables'!AE13,'Data Tables'!AF13),IF($W$22="750-800",IF($W$23="Yes",'Data Tables'!AE13,'Data Tables'!AF13),IF($W$22="800-850",IF($W$23="Yes",'Data Tables'!AE13,'Data Tables'!AF13),IF($W$23="Yes",'Data Tables'!AE13,'Data Tables'!AF13)))))))))),IF($W$21="Impermeable - drained for arable",IF($W$22="550-575",IF($W$23="Yes",'Data Tables'!AA13,'Data Tables'!AB13),IF($W$22="575-600",IF($W$23="Yes",'Data Tables'!AA13,'Data Tables'!AB13),IF($W$22="600-625",IF($W$23="Yes",'Data Tables'!AA13,'Data Tables'!AB13),IF($W$22="625-650",IF($W$23="Yes",'Data Tables'!AA13,'Data Tables'!AB13),IF($W$22="650-675",IF($W$23="Yes",'Data Tables'!AA13,'Data Tables'!AB13),IF($W$22="675-700",IF($W$23="Yes",'Data Tables'!AA13,'Data Tables'!AB13),IF($W$22="700-750",IF($W$23="Yes",'Data Tables'!AG13,'Data Tables'!AH13),IF($W$22="750-800",IF($W$23="Yes",'Data Tables'!AG13,'Data Tables'!AH13),IF($W$22="800-850",IF($W$23="Yes",'Data Tables'!AG13,'Data Tables'!AH13),IF($W$23="Yes",'Data Tables'!AG13,'Data Tables'!AH13)))))))))),IF($W$22="550-575",IF($W$23="Yes",'Data Tables'!AC13,'Data Tables'!AD13),IF($W$22="575-600",IF($W$23="Yes",'Data Tables'!AC13,'Data Tables'!AD13),IF($W$22="600-625",IF($W$23="Yes",'Data Tables'!AC13,'Data Tables'!AD13),IF($W$22="625-650",IF($W$23="Yes",'Data Tables'!AC13,'Data Tables'!AD13),IF($W$22="650-675",IF($W$23="Yes",'Data Tables'!AC13,'Data Tables'!AD13),IF($W$22="675-700",IF($W$23="Yes",'Data Tables'!AC13,'Data Tables'!AD13),IF($W$22="700-750",IF($W$23="Yes",'Data Tables'!AI13,'Data Tables'!AJ13),IF($W$22="750-800",IF($W$23="Yes",'Data Tables'!AI13,'Data Tables'!AJ13),IF($W$22="800-850",IF($W$23="Yes",'Data Tables'!AI13,'Data Tables'!AJ13),IF($W$23="Yes",'Data Tables'!AI13,'Data Tables'!AJ13))))))))))))),IF($W$20="Yare",(IF($W$21="Freely draining",IF($W$22="550-575",IF($W$23="Yes",'Data Tables'!Y24,'Data Tables'!Z24),IF($W$22="575-600",IF($W$23="Yes",'Data Tables'!Y24,'Data Tables'!Z24),IF($W$22="600-625",IF($W$23="Yes",'Data Tables'!Y24,'Data Tables'!Z24),IF($W$22="625-650",IF($W$23="Yes",'Data Tables'!Y24,'Data Tables'!Z24),IF($W$22="650-675",IF($W$23="Yes",'Data Tables'!Y24,'Data Tables'!Z24),IF($W$22="675-700",IF($W$23="Yes",'Data Tables'!Y24,'Data Tables'!Z24),IF($W$22="700-750",IF($W$23="Yes",'Data Tables'!AE24,'Data Tables'!AF24),IF($W$22="750-800",IF($W$23="Yes",'Data Tables'!AE24,'Data Tables'!AF24),IF($W$22="800-850",IF($W$23="Yes",'Data Tables'!AE24,'Data Tables'!AF24),IF($W$23="Yes",'Data Tables'!AE24,'Data Tables'!AF24)))))))))),IF($W$21="Impermeable - drained for arable",IF($W$22="550-575",IF($W$23="Yes",'Data Tables'!AA24,'Data Tables'!AB24),IF($W$22="575-600",IF($W$23="Yes",'Data Tables'!AA24,'Data Tables'!AB24),IF($W$22="600-625",IF($W$23="Yes",'Data Tables'!AA24,'Data Tables'!AB24),IF($W$22="625-650",IF($W$23="Yes",'Data Tables'!AA24,'Data Tables'!AB24),IF($W$22="650-675",IF($W$23="Yes",'Data Tables'!AA24,'Data Tables'!AB24),IF($W$22="675-700",IF($W$23="Yes",'Data Tables'!AA24,'Data Tables'!AB24),IF($W$22="700-750",IF($W$23="Yes",'Data Tables'!AG24,'Data Tables'!AH24),IF($W$22="750-800",IF($W$23="Yes",'Data Tables'!AG24,'Data Tables'!AH24),IF($W$22="800-850",IF($W$23="Yes",'Data Tables'!AG24,'Data Tables'!AH24),IF($W$23="Yes",'Data Tables'!AG24,'Data Tables'!AH24)))))))))),IF($W$22="550-575",IF($W$23="Yes",'Data Tables'!AC24,'Data Tables'!AD24),IF($W$22="575-600",IF($W$23="Yes",'Data Tables'!AC24,'Data Tables'!AD24),IF($W$22="600-625",IF($W$23="Yes",'Data Tables'!AC24,'Data Tables'!AD24),IF($W$22="625-650",IF($W$23="Yes",'Data Tables'!AC24,'Data Tables'!AD24),IF($W$22="650-675",IF($W$23="Yes",'Data Tables'!AC24,'Data Tables'!AD24),IF($W$22="675-700",IF($W$23="Yes",'Data Tables'!AC24,'Data Tables'!AD24),IF($W$22="700-750",IF($W$23="Yes",'Data Tables'!AI24,'Data Tables'!AJ24),IF($W$22="750-800",IF($W$23="Yes",'Data Tables'!AI24,'Data Tables'!AJ24),IF($W$22="800-850",IF($W$23="Yes",'Data Tables'!AI24,'Data Tables'!AJ24),IF($W$23="Yes",'Data Tables'!AI24,'Data Tables'!AJ24))))))))))))),(IF($W$21="Freely draining",IF($W$22="550-575",IF($W$23="Yes",'Data Tables'!S35,'Data Tables'!T35),IF($W$22="575-600",IF($W$23="Yes",'Data Tables'!S35,'Data Tables'!T35),IF($W$22="600-625",IF($W$23="Yes",'Data Tables'!Y35,'Data Tables'!Z35),IF($W$22="625-650",IF($W$23="Yes",'Data Tables'!Y35,'Data Tables'!Z35),IF($W$22="650-675",IF($W$23="Yes",'Data Tables'!Y35,'Data Tables'!Z35),IF($W$22="675-700",IF($W$23="Yes",'Data Tables'!Y35,'Data Tables'!Z35),IF($W$22="700-750",IF($W$23="Yes",'Data Tables'!AE35,'Data Tables'!AF35),IF($W$22="750-800",IF($W$23="Yes",'Data Tables'!AE35,'Data Tables'!AF35),IF($W$22="800-850",IF($W$23="Yes",'Data Tables'!AE35,'Data Tables'!AF35),IF($W$23="Yes",'Data Tables'!AE35,'Data Tables'!AF35)))))))))),IF($W$21="Impermeable - drained for arable",IF($W$22="550-575",IF($W$23="Yes",'Data Tables'!U35,'Data Tables'!V35),IF($W$22="575-600",IF($W$23="Yes",'Data Tables'!U35,'Data Tables'!V35),IF($W$22="600-625",IF($W$23="Yes",'Data Tables'!AA35,'Data Tables'!AB35),IF($W$22="625-650",IF($W$23="Yes",'Data Tables'!AA35,'Data Tables'!AB35),IF($W$22="650-675",IF($W$23="Yes",'Data Tables'!AA35,'Data Tables'!AB35),IF($W$22="675-700",IF($W$23="Yes",'Data Tables'!AA35,'Data Tables'!AB35),IF($W$22="700-750",IF($W$23="Yes",'Data Tables'!AG35,'Data Tables'!AH35),IF($W$22="750-800",IF($W$23="Yes",'Data Tables'!AG35,'Data Tables'!AH35),IF($W$22="800-850",IF($W$23="Yes",'Data Tables'!AG35,'Data Tables'!AH35),IF($W$23="Yes",'Data Tables'!AG35,'Data Tables'!AH35)))))))))),IF($W$22="550-575",IF($W$23="Yes",'Data Tables'!W35,'Data Tables'!X35),IF($W$22="575-600",IF($W$23="Yes",'Data Tables'!W35,'Data Tables'!X35),IF($W$22="600-625",IF($W$23="Yes",'Data Tables'!AC35,'Data Tables'!AD35),IF($W$22="625-650",IF($W$23="Yes",'Data Tables'!AC35,'Data Tables'!AD35),IF($W$22="650-675",IF($W$23="Yes",'Data Tables'!AC35,'Data Tables'!AD35),IF($W$22="675-700",IF($W$23="Yes",'Data Tables'!AC35,'Data Tables'!AD35),IF($W$22="700-750",IF($W$23="Yes",'Data Tables'!AI35,'Data Tables'!AJ35),IF($W$22="750-800",IF($W$23="Yes",'Data Tables'!AI35,'Data Tables'!AJ35),IF($W$22="800-850",IF($W$23="Yes",'Data Tables'!AI35,'Data Tables'!AJ35),IF($W$23="Yes",'Data Tables'!AI35,'Data Tables'!AJ35))))))))))))))),0),"")</f>
        <v/>
      </c>
      <c r="Z39" s="323"/>
      <c r="AA39" s="306"/>
    </row>
    <row r="40" spans="2:27" ht="16.2" customHeight="1">
      <c r="B40" s="46"/>
      <c r="C40" s="222"/>
      <c r="D40" s="222"/>
      <c r="E40" s="140" t="str">
        <f>'Stage 2'!F36</f>
        <v>Woodland (e.g. conifer, mixed, broad-leaved)</v>
      </c>
      <c r="F40" s="140"/>
      <c r="G40" s="140"/>
      <c r="H40" s="140"/>
      <c r="I40" s="140"/>
      <c r="J40" s="49"/>
      <c r="K40" s="284" t="str">
        <f>IF('Stage 2'!K36&gt;0,'Data Tables'!O5,"")</f>
        <v/>
      </c>
      <c r="L40" s="263"/>
      <c r="M40" s="233" t="s">
        <v>269</v>
      </c>
      <c r="N40" s="235" t="s">
        <v>413</v>
      </c>
      <c r="O40" s="252"/>
      <c r="P40" s="49"/>
      <c r="Q40" s="49"/>
      <c r="R40" s="140" t="str">
        <f>E40</f>
        <v>Woodland (e.g. conifer, mixed, broad-leaved)</v>
      </c>
      <c r="S40" s="140"/>
      <c r="T40" s="140"/>
      <c r="U40" s="140"/>
      <c r="V40" s="140"/>
      <c r="W40" s="233" t="s">
        <v>269</v>
      </c>
      <c r="X40" s="49"/>
      <c r="Y40" s="279" t="str">
        <f>IF($W$15="Yes",(IF(W40="Yes",'Data Tables'!O5,0)),"")</f>
        <v/>
      </c>
      <c r="Z40" s="323"/>
      <c r="AA40" s="306"/>
    </row>
    <row r="41" spans="2:27" ht="16.2" customHeight="1">
      <c r="B41" s="46"/>
      <c r="C41" s="222"/>
      <c r="D41" s="222"/>
      <c r="E41" s="140" t="str">
        <f>'Stage 2'!F37</f>
        <v>Greenspace</v>
      </c>
      <c r="F41" s="140"/>
      <c r="G41" s="140"/>
      <c r="H41" s="140"/>
      <c r="I41" s="140"/>
      <c r="J41" s="49"/>
      <c r="K41" s="284" t="str">
        <f>IF('Stage 2'!K37&gt;0,'Data Tables'!O4,"")</f>
        <v/>
      </c>
      <c r="L41" s="263"/>
      <c r="M41" s="233" t="s">
        <v>269</v>
      </c>
      <c r="N41" s="235" t="s">
        <v>413</v>
      </c>
      <c r="O41" s="252"/>
      <c r="P41" s="49"/>
      <c r="Q41" s="49"/>
      <c r="R41" s="140" t="str">
        <f>E41</f>
        <v>Greenspace</v>
      </c>
      <c r="S41" s="140"/>
      <c r="T41" s="140"/>
      <c r="U41" s="140"/>
      <c r="V41" s="140"/>
      <c r="W41" s="233" t="s">
        <v>269</v>
      </c>
      <c r="X41" s="49"/>
      <c r="Y41" s="279" t="str">
        <f>IF($W$15="Yes",(IF(W41="Yes",'Data Tables'!O4,0)),"")</f>
        <v/>
      </c>
      <c r="Z41" s="323"/>
      <c r="AA41" s="306"/>
    </row>
    <row r="42" spans="2:27" ht="16.2" customHeight="1">
      <c r="B42" s="46"/>
      <c r="C42" s="222"/>
      <c r="D42" s="222"/>
      <c r="E42" s="140" t="str">
        <f>'Stage 2'!F38</f>
        <v>Shrub / heathland / bracken / bog</v>
      </c>
      <c r="F42" s="140"/>
      <c r="G42" s="140"/>
      <c r="H42" s="140"/>
      <c r="I42" s="140"/>
      <c r="J42" s="49"/>
      <c r="K42" s="284" t="str">
        <f>IF('Stage 2'!K38&gt;0,'Data Tables'!O6,"")</f>
        <v/>
      </c>
      <c r="L42" s="263"/>
      <c r="M42" s="233" t="s">
        <v>269</v>
      </c>
      <c r="N42" s="235" t="s">
        <v>413</v>
      </c>
      <c r="O42" s="252"/>
      <c r="P42" s="49"/>
      <c r="Q42" s="49"/>
      <c r="R42" s="140" t="str">
        <f>E42</f>
        <v>Shrub / heathland / bracken / bog</v>
      </c>
      <c r="S42" s="140"/>
      <c r="T42" s="140"/>
      <c r="U42" s="140"/>
      <c r="V42" s="140"/>
      <c r="W42" s="233" t="s">
        <v>269</v>
      </c>
      <c r="X42" s="49"/>
      <c r="Y42" s="279" t="str">
        <f>IF($W$15="Yes",(IF(W42="Yes",'Data Tables'!O6,0)),"")</f>
        <v/>
      </c>
      <c r="Z42" s="323"/>
      <c r="AA42" s="306"/>
    </row>
    <row r="43" spans="2:27" ht="15" customHeight="1">
      <c r="B43" s="46"/>
      <c r="C43" s="222"/>
      <c r="D43" s="222"/>
      <c r="E43" s="140" t="str">
        <f>'Stage 2'!F39</f>
        <v>Water</v>
      </c>
      <c r="F43" s="140"/>
      <c r="G43" s="140"/>
      <c r="H43" s="140"/>
      <c r="I43" s="140"/>
      <c r="J43" s="49"/>
      <c r="K43" s="284" t="str">
        <f>IF('Stage 2'!K39&gt;0,'Data Tables'!O7,"")</f>
        <v/>
      </c>
      <c r="L43" s="263"/>
      <c r="M43" s="233" t="s">
        <v>269</v>
      </c>
      <c r="N43" s="235" t="s">
        <v>413</v>
      </c>
      <c r="O43" s="252"/>
      <c r="P43" s="49"/>
      <c r="Q43" s="49"/>
      <c r="R43" s="140" t="str">
        <f>E43</f>
        <v>Water</v>
      </c>
      <c r="S43" s="140"/>
      <c r="T43" s="140"/>
      <c r="U43" s="140"/>
      <c r="V43" s="140"/>
      <c r="W43" s="233" t="s">
        <v>269</v>
      </c>
      <c r="X43" s="49"/>
      <c r="Y43" s="279" t="str">
        <f>IF($W$15="Yes",(IF(W43="Yes",'Data Tables'!O7,0)),"")</f>
        <v/>
      </c>
      <c r="Z43" s="323"/>
      <c r="AA43" s="306"/>
    </row>
    <row r="44" spans="2:27" ht="16.2" customHeight="1">
      <c r="B44" s="46"/>
      <c r="C44" s="222"/>
      <c r="D44" s="222"/>
      <c r="E44" s="49"/>
      <c r="F44" s="38"/>
      <c r="G44" s="49"/>
      <c r="H44" s="49"/>
      <c r="I44" s="49"/>
      <c r="J44" s="49"/>
      <c r="K44" s="263"/>
      <c r="L44" s="263"/>
      <c r="M44" s="49"/>
      <c r="N44" s="241"/>
      <c r="O44" s="252"/>
      <c r="P44" s="49"/>
      <c r="Q44" s="49"/>
      <c r="R44" s="49"/>
      <c r="S44" s="49"/>
      <c r="T44" s="49"/>
      <c r="U44" s="49"/>
      <c r="V44" s="49"/>
      <c r="W44" s="140" t="s">
        <v>410</v>
      </c>
      <c r="X44" s="49"/>
      <c r="Y44" s="49"/>
      <c r="Z44" s="49"/>
      <c r="AA44" s="306"/>
    </row>
    <row r="45" spans="2:27" ht="16.2" customHeight="1">
      <c r="B45" s="46"/>
      <c r="C45" s="222"/>
      <c r="D45" s="222"/>
      <c r="E45" s="275" t="s">
        <v>416</v>
      </c>
      <c r="F45" s="275"/>
      <c r="G45" s="275"/>
      <c r="H45" s="275"/>
      <c r="I45" s="275"/>
      <c r="J45" s="49"/>
      <c r="K45" s="267">
        <f>IF(K15="Yes",(IF(M21="Yes",K21,0)+IF(M26="Yes",K26,0)+IF(M27="Yes",K27,0)+IF(M28="Yes",K28,0)+IF(M29="Yes",K29,0)+IF(M30="Yes",K30,0)+IF(M31="Yes",K31,0)+IF(M32="Yes",K32,0)+IF(M33="Yes",K33,0)+IF(M34="Yes",K34,0)+IF(M35="Yes",K35,0)+IF(M36="Yes",K36,0)+IF(M37="Yes",K37,0)+IF(M38="Yes",K38,0)+IF(M39="Yes",K39,0)+IF(M40="Yes",K40,0)+IF(M41="Yes",K41,0)+IF(M42="Yes",K42,0)+IF(M43="Yes",K43,0))/COUNTIF(M21:M43,"Yes"),0)</f>
        <v>0</v>
      </c>
      <c r="L45" s="263"/>
      <c r="M45" s="49"/>
      <c r="N45" s="241"/>
      <c r="O45" s="252"/>
      <c r="P45" s="49"/>
      <c r="Q45" s="49"/>
      <c r="R45" s="275" t="s">
        <v>417</v>
      </c>
      <c r="S45" s="275"/>
      <c r="T45" s="275"/>
      <c r="U45" s="275"/>
      <c r="V45" s="275"/>
      <c r="W45" s="285">
        <f>IF(W15="Yes",SUM(Y26:Y43)/(COUNTIF(W26:W43,"Yes")),0)</f>
        <v>0</v>
      </c>
      <c r="X45" s="309"/>
      <c r="Y45" s="221"/>
      <c r="Z45" s="221"/>
      <c r="AA45" s="306"/>
    </row>
    <row r="46" spans="2:27" ht="16.2" customHeight="1">
      <c r="B46" s="46"/>
      <c r="C46" s="222"/>
      <c r="D46" s="222"/>
      <c r="E46" s="275"/>
      <c r="F46" s="275"/>
      <c r="G46" s="275"/>
      <c r="H46" s="275"/>
      <c r="I46" s="275"/>
      <c r="J46" s="49"/>
      <c r="K46" s="263"/>
      <c r="L46" s="263"/>
      <c r="M46" s="49"/>
      <c r="N46" s="241"/>
      <c r="O46" s="49"/>
      <c r="P46" s="49"/>
      <c r="Q46" s="49"/>
      <c r="R46" s="275"/>
      <c r="S46" s="275"/>
      <c r="T46" s="275"/>
      <c r="U46" s="275"/>
      <c r="V46" s="275"/>
      <c r="W46" s="309"/>
      <c r="X46" s="49"/>
      <c r="Y46" s="309"/>
      <c r="Z46" s="309"/>
      <c r="AA46" s="306"/>
    </row>
    <row r="47" spans="2:27" ht="16.2" customHeight="1">
      <c r="B47" s="46"/>
      <c r="C47" s="222"/>
      <c r="D47" s="222"/>
      <c r="E47" s="49"/>
      <c r="F47" s="38"/>
      <c r="G47" s="49"/>
      <c r="H47" s="49"/>
      <c r="I47" s="49"/>
      <c r="J47" s="49"/>
      <c r="K47" s="263"/>
      <c r="L47" s="263"/>
      <c r="M47" s="49"/>
      <c r="N47" s="241"/>
      <c r="O47" s="140" t="s">
        <v>410</v>
      </c>
      <c r="P47" s="49"/>
      <c r="Q47" s="49"/>
      <c r="R47" s="49"/>
      <c r="S47" s="49"/>
      <c r="T47" s="49"/>
      <c r="U47" s="49"/>
      <c r="V47" s="49"/>
      <c r="W47" s="49"/>
      <c r="X47" s="49"/>
      <c r="Y47" s="49"/>
      <c r="Z47" s="49"/>
      <c r="AA47" s="306"/>
    </row>
    <row r="48" spans="2:27" ht="16.2" customHeight="1">
      <c r="B48" s="46"/>
      <c r="C48" s="222"/>
      <c r="D48" s="222"/>
      <c r="E48" s="49"/>
      <c r="F48" s="38"/>
      <c r="G48" s="49"/>
      <c r="H48" s="49"/>
      <c r="I48" s="275" t="s">
        <v>418</v>
      </c>
      <c r="J48" s="275"/>
      <c r="K48" s="275"/>
      <c r="L48" s="275"/>
      <c r="M48" s="275"/>
      <c r="N48" s="275"/>
      <c r="O48" s="267" t="str">
        <f>IF(K45+W45&gt;0,K45+W45,"")</f>
        <v/>
      </c>
      <c r="P48" s="309"/>
      <c r="Q48" s="309"/>
      <c r="R48" s="49"/>
      <c r="S48" s="49"/>
      <c r="T48" s="49"/>
      <c r="U48" s="49"/>
      <c r="V48" s="49"/>
      <c r="W48" s="49"/>
      <c r="X48" s="49"/>
      <c r="Y48" s="49"/>
      <c r="Z48" s="49"/>
      <c r="AA48" s="306"/>
    </row>
    <row r="49" spans="2:27" ht="16.2" customHeight="1" thickBot="1">
      <c r="B49" s="46"/>
      <c r="C49" s="222"/>
      <c r="D49" s="310"/>
      <c r="E49" s="242"/>
      <c r="F49" s="242"/>
      <c r="G49" s="242"/>
      <c r="H49" s="242"/>
      <c r="I49" s="242"/>
      <c r="J49" s="242"/>
      <c r="K49" s="242"/>
      <c r="L49" s="242"/>
      <c r="M49" s="242"/>
      <c r="N49" s="242"/>
      <c r="O49" s="242"/>
      <c r="P49" s="242"/>
      <c r="Q49" s="49"/>
      <c r="R49" s="49"/>
      <c r="S49" s="49"/>
      <c r="T49" s="311"/>
      <c r="U49" s="311"/>
      <c r="V49" s="311"/>
      <c r="W49" s="311"/>
      <c r="X49" s="311"/>
      <c r="Y49" s="311"/>
      <c r="Z49" s="311"/>
      <c r="AA49" s="312"/>
    </row>
    <row r="50" spans="2:27" ht="11.7" customHeight="1">
      <c r="B50" s="46"/>
      <c r="C50" s="222"/>
      <c r="D50" s="49"/>
      <c r="E50" s="49"/>
      <c r="F50" s="49"/>
      <c r="G50" s="49"/>
      <c r="H50" s="49"/>
      <c r="I50" s="49"/>
      <c r="J50" s="49"/>
      <c r="K50" s="49"/>
      <c r="L50" s="49"/>
      <c r="M50" s="49"/>
      <c r="N50" s="49"/>
      <c r="O50" s="49"/>
      <c r="P50" s="49"/>
      <c r="Q50" s="49"/>
      <c r="R50" s="49"/>
      <c r="S50" s="313"/>
      <c r="T50" s="66"/>
      <c r="U50" s="66"/>
      <c r="V50" s="66"/>
      <c r="W50" s="66"/>
      <c r="X50" s="66"/>
      <c r="Y50" s="66"/>
      <c r="Z50" s="66"/>
      <c r="AA50" s="66"/>
    </row>
    <row r="51" spans="2:27" ht="15.6" hidden="1">
      <c r="B51" s="46"/>
      <c r="C51" s="222"/>
      <c r="D51" s="49"/>
      <c r="E51" s="48" t="s">
        <v>331</v>
      </c>
      <c r="F51" s="138" t="s">
        <v>427</v>
      </c>
      <c r="G51" s="138"/>
      <c r="H51" s="138"/>
      <c r="I51" s="138"/>
      <c r="J51" s="138"/>
      <c r="K51" s="140" t="s">
        <v>240</v>
      </c>
      <c r="L51" s="140"/>
      <c r="M51" s="140" t="s">
        <v>241</v>
      </c>
      <c r="N51" s="49"/>
      <c r="O51" s="49"/>
      <c r="P51" s="49"/>
      <c r="Q51" s="49"/>
      <c r="R51" s="49"/>
      <c r="S51" s="313"/>
      <c r="T51" s="66"/>
      <c r="U51" s="66"/>
      <c r="V51" s="66"/>
      <c r="W51" s="66"/>
      <c r="X51" s="66"/>
      <c r="Y51" s="66"/>
      <c r="Z51" s="66"/>
      <c r="AA51" s="66"/>
    </row>
    <row r="52" spans="2:27" customHeight="1">
      <c r="B52" s="46"/>
      <c r="C52" s="222"/>
      <c r="D52" s="49"/>
      <c r="E52" s="49"/>
      <c r="F52" s="49"/>
      <c r="G52" s="49"/>
      <c r="H52" s="49"/>
      <c r="I52" s="49"/>
      <c r="J52" s="49"/>
      <c r="K52" s="49"/>
      <c r="L52" s="49"/>
      <c r="M52" s="49"/>
      <c r="N52" s="49"/>
      <c r="O52" s="49"/>
      <c r="P52" s="49"/>
      <c r="Q52" s="49"/>
      <c r="R52" s="49"/>
      <c r="S52" s="313"/>
      <c r="T52" s="66"/>
      <c r="U52" s="66"/>
      <c r="V52" s="66"/>
      <c r="W52" s="66"/>
      <c r="X52" s="66"/>
      <c r="Y52" s="66"/>
      <c r="Z52" s="66"/>
      <c r="AA52" s="66"/>
    </row>
    <row r="53" spans="2:27" customHeight="1">
      <c r="B53" s="46"/>
      <c r="C53" s="222"/>
      <c r="D53" s="49"/>
      <c r="E53" s="140" t="s">
        <v>420</v>
      </c>
      <c r="F53" s="140"/>
      <c r="G53" s="140"/>
      <c r="H53" s="140"/>
      <c r="I53" s="140"/>
      <c r="J53" s="49"/>
      <c r="K53" s="314" t="e">
        <f>(1/(((O48-(-IF(K61&gt;0,K61,8))))/$K$10))</f>
        <v>#VALUE!</v>
      </c>
      <c r="L53" s="315"/>
      <c r="M53" s="235" t="s">
        <v>323</v>
      </c>
      <c r="N53" s="49"/>
      <c r="O53" s="49"/>
      <c r="P53" s="49"/>
      <c r="Q53" s="49"/>
      <c r="R53" s="49"/>
      <c r="S53" s="313"/>
      <c r="T53" s="66"/>
      <c r="U53" s="66"/>
      <c r="V53" s="66"/>
      <c r="W53" s="66"/>
      <c r="X53" s="66"/>
      <c r="Y53" s="66"/>
      <c r="Z53" s="66"/>
      <c r="AA53" s="66"/>
    </row>
    <row r="54" spans="2:27" ht="14.7" customHeight="1">
      <c r="B54" s="46"/>
      <c r="C54" s="222"/>
      <c r="D54" s="49"/>
      <c r="E54" s="140" t="s">
        <v>421</v>
      </c>
      <c r="F54" s="140"/>
      <c r="G54" s="140"/>
      <c r="H54" s="140"/>
      <c r="I54" s="140"/>
      <c r="J54" s="49"/>
      <c r="K54" s="314" t="e">
        <f>(K10/($O$48-(IF(K15="Yes",IF('Stage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L54" s="315"/>
      <c r="M54" s="235" t="s">
        <v>323</v>
      </c>
      <c r="N54" s="49"/>
      <c r="O54" s="49"/>
      <c r="P54" s="49"/>
      <c r="Q54" s="49"/>
      <c r="R54" s="49"/>
      <c r="S54" s="313"/>
      <c r="T54" s="66"/>
      <c r="U54" s="66"/>
      <c r="V54" s="66"/>
      <c r="W54" s="66"/>
      <c r="X54" s="66"/>
      <c r="Y54" s="66"/>
      <c r="Z54" s="66"/>
      <c r="AA54" s="66"/>
    </row>
    <row r="55" spans="2:27" ht="14.7" customHeight="1">
      <c r="B55" s="46"/>
      <c r="C55" s="222"/>
      <c r="D55" s="49"/>
      <c r="E55" s="140" t="s">
        <v>79</v>
      </c>
      <c r="F55" s="140"/>
      <c r="G55" s="140"/>
      <c r="H55" s="140"/>
      <c r="I55" s="140"/>
      <c r="J55" s="140"/>
      <c r="K55" s="314" t="e">
        <f>(1/(($O$48-'Data Tables'!O7)/$K$10))</f>
        <v>#VALUE!</v>
      </c>
      <c r="L55" s="315"/>
      <c r="M55" s="235" t="s">
        <v>323</v>
      </c>
      <c r="N55" s="235"/>
      <c r="O55" s="258"/>
      <c r="P55" s="258"/>
      <c r="Q55" s="235"/>
      <c r="R55" s="49"/>
      <c r="S55" s="313"/>
      <c r="T55" s="66"/>
      <c r="U55" s="66"/>
      <c r="V55" s="66"/>
      <c r="W55" s="66"/>
      <c r="X55" s="66"/>
      <c r="Y55" s="66"/>
      <c r="Z55" s="66"/>
      <c r="AA55" s="66"/>
    </row>
    <row r="56" spans="2:27" ht="14.7" customHeight="1">
      <c r="B56" s="46"/>
      <c r="C56" s="222"/>
      <c r="D56" s="49"/>
      <c r="E56" s="140" t="s">
        <v>75</v>
      </c>
      <c r="F56" s="140"/>
      <c r="G56" s="140"/>
      <c r="H56" s="140"/>
      <c r="I56" s="140"/>
      <c r="J56" s="140"/>
      <c r="K56" s="314" t="e">
        <f>(1/(($O$48-'Data Tables'!O5)/$K$10))</f>
        <v>#VALUE!</v>
      </c>
      <c r="L56" s="315"/>
      <c r="M56" s="235" t="s">
        <v>323</v>
      </c>
      <c r="N56" s="235"/>
      <c r="O56" s="258"/>
      <c r="P56" s="258"/>
      <c r="Q56" s="235"/>
      <c r="R56" s="49"/>
      <c r="S56" s="313"/>
      <c r="T56" s="66"/>
      <c r="U56" s="66"/>
      <c r="V56" s="66"/>
      <c r="W56" s="66"/>
      <c r="X56" s="66"/>
      <c r="Y56" s="66"/>
      <c r="Z56" s="66"/>
      <c r="AA56" s="66"/>
    </row>
    <row r="57" spans="2:27" ht="14.7" customHeight="1">
      <c r="B57" s="46"/>
      <c r="C57" s="222"/>
      <c r="D57" s="49"/>
      <c r="E57" s="140" t="s">
        <v>422</v>
      </c>
      <c r="F57" s="140"/>
      <c r="G57" s="140"/>
      <c r="H57" s="140"/>
      <c r="I57" s="140"/>
      <c r="J57" s="140"/>
      <c r="K57" s="314" t="e">
        <f>(1/(($O$48-'Data Tables'!O6)/$K$10))</f>
        <v>#VALUE!</v>
      </c>
      <c r="L57" s="315"/>
      <c r="M57" s="235" t="s">
        <v>323</v>
      </c>
      <c r="N57" s="235"/>
      <c r="O57" s="258"/>
      <c r="P57" s="258"/>
      <c r="Q57" s="235"/>
      <c r="R57" s="49"/>
      <c r="S57" s="313"/>
      <c r="T57" s="66"/>
      <c r="U57" s="66"/>
      <c r="V57" s="66"/>
      <c r="W57" s="66"/>
      <c r="X57" s="66"/>
      <c r="Y57" s="66"/>
      <c r="Z57" s="66"/>
      <c r="AA57" s="66"/>
    </row>
    <row r="58" spans="2:27" ht="14.7" customHeight="1">
      <c r="B58" s="46"/>
      <c r="C58" s="222"/>
      <c r="D58" s="49"/>
      <c r="E58" s="140" t="s">
        <v>423</v>
      </c>
      <c r="F58" s="140"/>
      <c r="G58" s="140"/>
      <c r="H58" s="140"/>
      <c r="I58" s="140"/>
      <c r="J58" s="140"/>
      <c r="K58" s="314" t="e">
        <f>(1/(($O$48-'Data Tables'!O4)/$K$10))</f>
        <v>#VALUE!</v>
      </c>
      <c r="L58" s="315"/>
      <c r="M58" s="235" t="s">
        <v>323</v>
      </c>
      <c r="N58" s="235"/>
      <c r="O58" s="258"/>
      <c r="P58" s="258"/>
      <c r="Q58" s="235"/>
      <c r="R58" s="49"/>
      <c r="S58" s="313"/>
      <c r="T58" s="66"/>
      <c r="U58" s="66"/>
      <c r="V58" s="66"/>
      <c r="W58" s="66"/>
      <c r="X58" s="66"/>
      <c r="Y58" s="66"/>
      <c r="Z58" s="66"/>
      <c r="AA58" s="66"/>
    </row>
    <row r="59" spans="2:27" ht="7.5" customHeight="1">
      <c r="B59" s="46"/>
      <c r="C59" s="222"/>
      <c r="D59" s="49"/>
      <c r="E59" s="49"/>
      <c r="F59" s="49"/>
      <c r="G59" s="49"/>
      <c r="H59" s="49"/>
      <c r="I59" s="49"/>
      <c r="J59" s="49"/>
      <c r="K59" s="49"/>
      <c r="L59" s="49"/>
      <c r="M59" s="49"/>
      <c r="N59" s="49"/>
      <c r="O59" s="49"/>
      <c r="P59" s="49"/>
      <c r="Q59" s="49"/>
      <c r="R59" s="49"/>
      <c r="S59" s="313"/>
      <c r="T59" s="66"/>
      <c r="U59" s="66"/>
      <c r="V59" s="66"/>
      <c r="W59" s="66"/>
      <c r="X59" s="66"/>
      <c r="Y59" s="66"/>
      <c r="Z59" s="66"/>
      <c r="AA59" s="66"/>
    </row>
    <row r="60" spans="2:27" ht="16.2" customHeight="1">
      <c r="B60" s="46"/>
      <c r="C60" s="222"/>
      <c r="D60" s="49"/>
      <c r="E60" s="49"/>
      <c r="F60" s="138" t="s">
        <v>424</v>
      </c>
      <c r="G60" s="138"/>
      <c r="H60" s="138"/>
      <c r="I60" s="138"/>
      <c r="J60" s="138"/>
      <c r="K60" s="140" t="s">
        <v>410</v>
      </c>
      <c r="L60" s="140"/>
      <c r="M60" s="49"/>
      <c r="N60" s="49"/>
      <c r="O60" s="49"/>
      <c r="P60" s="49"/>
      <c r="Q60" s="49"/>
      <c r="R60" s="49"/>
      <c r="S60" s="313"/>
      <c r="T60" s="66"/>
      <c r="U60" s="66"/>
      <c r="V60" s="66"/>
      <c r="W60" s="66"/>
      <c r="X60" s="66"/>
      <c r="Y60" s="66"/>
      <c r="Z60" s="66"/>
      <c r="AA60" s="66"/>
    </row>
    <row r="61" spans="2:27" ht="18" customHeight="1">
      <c r="B61" s="46"/>
      <c r="C61" s="222"/>
      <c r="D61" s="49"/>
      <c r="E61" s="49"/>
      <c r="F61" s="49"/>
      <c r="G61" s="138" t="s">
        <v>425</v>
      </c>
      <c r="H61" s="138"/>
      <c r="I61" s="138"/>
      <c r="J61" s="138"/>
      <c r="K61" s="233"/>
      <c r="L61" s="234"/>
      <c r="M61" s="235" t="s">
        <v>413</v>
      </c>
      <c r="N61" s="222"/>
      <c r="O61" s="49"/>
      <c r="P61" s="49"/>
      <c r="Q61" s="49"/>
      <c r="R61" s="49"/>
      <c r="S61" s="313"/>
      <c r="T61" s="66"/>
      <c r="U61" s="66"/>
      <c r="V61" s="66"/>
      <c r="W61" s="66"/>
      <c r="X61" s="66"/>
      <c r="Y61" s="66"/>
      <c r="Z61" s="66"/>
      <c r="AA61" s="66"/>
    </row>
    <row r="62" spans="2:27" ht="55.2" customHeight="1">
      <c r="B62" s="46"/>
      <c r="C62" s="222"/>
      <c r="D62" s="49"/>
      <c r="E62" s="232" t="s">
        <v>426</v>
      </c>
      <c r="F62" s="232"/>
      <c r="G62" s="232"/>
      <c r="H62" s="232"/>
      <c r="I62" s="232"/>
      <c r="J62" s="232"/>
      <c r="K62" s="232"/>
      <c r="L62" s="232"/>
      <c r="M62" s="232"/>
      <c r="N62" s="232"/>
      <c r="O62" s="232"/>
      <c r="P62" s="232"/>
      <c r="Q62" s="232"/>
      <c r="R62" s="232"/>
      <c r="S62" s="313"/>
      <c r="T62" s="66"/>
      <c r="U62" s="66"/>
      <c r="V62" s="66"/>
      <c r="W62" s="66"/>
      <c r="X62" s="66"/>
      <c r="Y62" s="66"/>
      <c r="Z62" s="66"/>
      <c r="AA62" s="66"/>
    </row>
    <row r="63" spans="2:27" ht="14.7" customHeight="1">
      <c r="B63" s="46"/>
      <c r="C63" s="222"/>
      <c r="D63" s="49"/>
      <c r="E63" s="49"/>
      <c r="F63" s="49"/>
      <c r="G63" s="49"/>
      <c r="H63" s="49"/>
      <c r="I63" s="49"/>
      <c r="J63" s="49"/>
      <c r="K63" s="221"/>
      <c r="L63" s="221"/>
      <c r="M63" s="49"/>
      <c r="N63" s="49"/>
      <c r="O63" s="221"/>
      <c r="P63" s="221"/>
      <c r="Q63" s="49"/>
      <c r="R63" s="49"/>
      <c r="S63" s="313"/>
      <c r="T63" s="66"/>
      <c r="U63" s="66"/>
      <c r="V63" s="66"/>
      <c r="W63" s="66"/>
      <c r="X63" s="66"/>
      <c r="Y63" s="66"/>
      <c r="Z63" s="66"/>
      <c r="AA63" s="66"/>
    </row>
    <row r="64" spans="2:27" ht="10.2" customHeight="1">
      <c r="B64" s="46"/>
      <c r="C64" s="222"/>
      <c r="D64" s="49"/>
      <c r="E64" s="48" t="s">
        <v>297</v>
      </c>
      <c r="F64" s="49" t="s">
        <v>427</v>
      </c>
      <c r="G64" s="49"/>
      <c r="H64" s="49"/>
      <c r="I64" s="49"/>
      <c r="J64" s="49"/>
      <c r="K64" s="140" t="s">
        <v>240</v>
      </c>
      <c r="L64" s="140"/>
      <c r="M64" s="140" t="s">
        <v>241</v>
      </c>
      <c r="N64" s="140"/>
      <c r="O64" s="140" t="s">
        <v>240</v>
      </c>
      <c r="P64" s="140"/>
      <c r="Q64" s="140"/>
      <c r="R64" s="49"/>
      <c r="S64" s="313"/>
      <c r="T64" s="66"/>
      <c r="U64" s="66"/>
      <c r="V64" s="66"/>
      <c r="W64" s="66"/>
      <c r="X64" s="66"/>
      <c r="Y64" s="66"/>
      <c r="Z64" s="66"/>
      <c r="AA64" s="66"/>
    </row>
    <row r="65" spans="2:27" ht="13.5" customHeight="1">
      <c r="B65" s="46"/>
      <c r="C65" s="222"/>
      <c r="D65" s="49"/>
      <c r="E65" s="48"/>
      <c r="F65" s="49"/>
      <c r="G65" s="49"/>
      <c r="H65" s="49"/>
      <c r="I65" s="49"/>
      <c r="J65" s="49"/>
      <c r="K65" s="140" t="s">
        <v>410</v>
      </c>
      <c r="L65" s="140"/>
      <c r="M65" s="49"/>
      <c r="N65" s="49"/>
      <c r="O65" s="140" t="s">
        <v>410</v>
      </c>
      <c r="P65" s="140"/>
      <c r="Q65" s="140"/>
      <c r="R65" s="49"/>
      <c r="S65" s="313"/>
      <c r="T65" s="66"/>
      <c r="U65" s="316"/>
      <c r="V65" s="66"/>
      <c r="W65" s="66"/>
      <c r="X65" s="66"/>
      <c r="Y65" s="66"/>
      <c r="Z65" s="66"/>
      <c r="AA65" s="66"/>
    </row>
    <row r="66" spans="2:27" ht="19.2" customHeight="1">
      <c r="B66" s="46"/>
      <c r="C66" s="222"/>
      <c r="D66" s="49"/>
      <c r="E66" s="140" t="s">
        <v>420</v>
      </c>
      <c r="F66" s="140"/>
      <c r="G66" s="140"/>
      <c r="H66" s="140"/>
      <c r="I66" s="140"/>
      <c r="J66" s="140"/>
      <c r="K66" s="317"/>
      <c r="L66" s="271"/>
      <c r="M66" s="235" t="s">
        <v>293</v>
      </c>
      <c r="N66" s="235"/>
      <c r="O66" s="314" t="str">
        <f>IF(K66&gt;0,(1/(($O$48-(-IF(K61&gt;0,K61,8)))/K66)),"0")</f>
        <v>0</v>
      </c>
      <c r="P66" s="315"/>
      <c r="Q66" s="235" t="s">
        <v>323</v>
      </c>
      <c r="R66" s="49"/>
      <c r="S66" s="313"/>
      <c r="T66" s="66"/>
      <c r="U66" s="316"/>
      <c r="V66" s="66"/>
      <c r="W66" s="66"/>
      <c r="X66" s="66"/>
      <c r="Y66" s="66"/>
      <c r="Z66" s="66"/>
      <c r="AA66" s="66"/>
    </row>
    <row r="67" spans="2:27" ht="22.5" customHeight="1">
      <c r="B67" s="46"/>
      <c r="C67" s="222"/>
      <c r="D67" s="49"/>
      <c r="E67" s="140" t="s">
        <v>421</v>
      </c>
      <c r="F67" s="140"/>
      <c r="G67" s="140"/>
      <c r="H67" s="140"/>
      <c r="I67" s="140"/>
      <c r="J67" s="140"/>
      <c r="K67" s="317"/>
      <c r="L67" s="271"/>
      <c r="M67" s="235" t="s">
        <v>293</v>
      </c>
      <c r="N67" s="235"/>
      <c r="O67" s="314" t="str">
        <f>IF(K67&gt;0,(1/(($O$48-(IF(K15="Yes",IF('Stage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Tables'!AK48))))))))))))/K67)),"0")</f>
        <v>0</v>
      </c>
      <c r="P67" s="315"/>
      <c r="Q67" s="235" t="s">
        <v>323</v>
      </c>
      <c r="R67" s="49"/>
      <c r="S67" s="313"/>
      <c r="T67" s="66"/>
      <c r="U67" s="66"/>
      <c r="V67" s="66"/>
      <c r="W67" s="66"/>
      <c r="X67" s="66"/>
      <c r="Y67" s="66"/>
      <c r="Z67" s="66"/>
      <c r="AA67" s="66"/>
    </row>
    <row r="68" spans="2:27" ht="13.5" customHeight="1">
      <c r="B68" s="46"/>
      <c r="C68" s="222"/>
      <c r="D68" s="49"/>
      <c r="E68" s="140" t="s">
        <v>79</v>
      </c>
      <c r="F68" s="140"/>
      <c r="G68" s="140"/>
      <c r="H68" s="140"/>
      <c r="I68" s="140"/>
      <c r="J68" s="140"/>
      <c r="K68" s="317"/>
      <c r="L68" s="271"/>
      <c r="M68" s="235" t="s">
        <v>293</v>
      </c>
      <c r="N68" s="235"/>
      <c r="O68" s="314" t="str">
        <f>IF(K68&gt;0,(1/(($O$48-'Data Tables'!O7)/K68)),"0")</f>
        <v>0</v>
      </c>
      <c r="P68" s="315"/>
      <c r="Q68" s="235" t="s">
        <v>323</v>
      </c>
      <c r="R68" s="49"/>
      <c r="S68" s="313"/>
      <c r="T68" s="66"/>
      <c r="U68" s="316"/>
      <c r="V68" s="66"/>
      <c r="W68" s="66"/>
      <c r="X68" s="66"/>
      <c r="Y68" s="66"/>
      <c r="Z68" s="66"/>
      <c r="AA68" s="66"/>
    </row>
    <row r="69" spans="2:27" ht="16.5" customHeight="1">
      <c r="B69" s="46"/>
      <c r="C69" s="222"/>
      <c r="D69" s="49"/>
      <c r="E69" s="140" t="s">
        <v>75</v>
      </c>
      <c r="F69" s="140"/>
      <c r="G69" s="140"/>
      <c r="H69" s="140"/>
      <c r="I69" s="140"/>
      <c r="J69" s="140"/>
      <c r="K69" s="317"/>
      <c r="L69" s="271"/>
      <c r="M69" s="235" t="s">
        <v>293</v>
      </c>
      <c r="N69" s="235"/>
      <c r="O69" s="314" t="str">
        <f>IF(K69&gt;0,(1/(($O$48-'Data Tables'!O5)/K69)),"0")</f>
        <v>0</v>
      </c>
      <c r="P69" s="315"/>
      <c r="Q69" s="235" t="s">
        <v>323</v>
      </c>
      <c r="R69" s="49"/>
      <c r="S69" s="313"/>
      <c r="T69" s="66"/>
      <c r="U69" s="66"/>
      <c r="V69" s="66"/>
      <c r="W69" s="66"/>
      <c r="X69" s="66"/>
      <c r="Y69" s="66"/>
      <c r="Z69" s="66"/>
      <c r="AA69" s="66"/>
    </row>
    <row r="70" spans="2:27" ht="16.5" customHeight="1">
      <c r="B70" s="46"/>
      <c r="C70" s="222"/>
      <c r="D70" s="49"/>
      <c r="E70" s="140" t="s">
        <v>422</v>
      </c>
      <c r="F70" s="140"/>
      <c r="G70" s="140"/>
      <c r="H70" s="140"/>
      <c r="I70" s="140"/>
      <c r="J70" s="140"/>
      <c r="K70" s="317"/>
      <c r="L70" s="271"/>
      <c r="M70" s="235" t="s">
        <v>293</v>
      </c>
      <c r="N70" s="235"/>
      <c r="O70" s="314" t="str">
        <f>IF(K70&gt;0,(1/(($O$48-'Data Tables'!O6)/K70)),"0")</f>
        <v>0</v>
      </c>
      <c r="P70" s="315"/>
      <c r="Q70" s="235" t="s">
        <v>323</v>
      </c>
      <c r="R70" s="49"/>
      <c r="S70" s="313"/>
      <c r="T70" s="66"/>
      <c r="U70" s="66"/>
      <c r="V70" s="66"/>
      <c r="W70" s="66"/>
      <c r="X70" s="66"/>
      <c r="Y70" s="66"/>
      <c r="Z70" s="66"/>
      <c r="AA70" s="66"/>
    </row>
    <row r="71" spans="2:27" ht="16.5" customHeight="1">
      <c r="B71" s="46"/>
      <c r="C71" s="222"/>
      <c r="D71" s="49"/>
      <c r="E71" s="140" t="s">
        <v>423</v>
      </c>
      <c r="F71" s="140"/>
      <c r="G71" s="140"/>
      <c r="H71" s="140"/>
      <c r="I71" s="140"/>
      <c r="J71" s="140"/>
      <c r="K71" s="317"/>
      <c r="L71" s="271"/>
      <c r="M71" s="235" t="s">
        <v>293</v>
      </c>
      <c r="N71" s="235"/>
      <c r="O71" s="314" t="str">
        <f>IF(K71&gt;0,(1/(($O$48-'Data Tables'!O4)/K71)),"0")</f>
        <v>0</v>
      </c>
      <c r="P71" s="315"/>
      <c r="Q71" s="235" t="s">
        <v>323</v>
      </c>
      <c r="R71" s="49"/>
      <c r="S71" s="313"/>
      <c r="T71" s="66"/>
      <c r="U71" s="66"/>
      <c r="V71" s="66"/>
      <c r="W71" s="66"/>
      <c r="X71" s="66"/>
      <c r="Y71" s="66"/>
      <c r="Z71" s="66"/>
      <c r="AA71" s="66"/>
    </row>
    <row r="72" spans="2:27" ht="22.2" customHeight="1">
      <c r="B72" s="46"/>
      <c r="C72" s="222"/>
      <c r="D72" s="49"/>
      <c r="E72" s="49"/>
      <c r="F72" s="49"/>
      <c r="G72" s="49"/>
      <c r="H72" s="49"/>
      <c r="I72" s="49"/>
      <c r="J72" s="49"/>
      <c r="K72" s="49"/>
      <c r="L72" s="49"/>
      <c r="M72" s="235"/>
      <c r="N72" s="235"/>
      <c r="O72" s="318"/>
      <c r="P72" s="318"/>
      <c r="Q72" s="235"/>
      <c r="R72" s="49"/>
      <c r="S72" s="313"/>
      <c r="T72" s="66"/>
      <c r="U72" s="66"/>
      <c r="V72" s="66"/>
      <c r="W72" s="66"/>
      <c r="X72" s="66"/>
      <c r="Y72" s="66"/>
      <c r="Z72" s="66"/>
      <c r="AA72" s="66"/>
    </row>
    <row r="73" spans="2:27" ht="15.6" customHeight="1">
      <c r="B73" s="46"/>
      <c r="C73" s="222"/>
      <c r="D73" s="49"/>
      <c r="E73" s="49"/>
      <c r="F73" s="142" t="s">
        <v>428</v>
      </c>
      <c r="G73" s="142"/>
      <c r="H73" s="142"/>
      <c r="I73" s="142"/>
      <c r="J73" s="49"/>
      <c r="K73" s="267" t="e">
        <f>K10-(SUM(K66:K71))</f>
        <v>#VALUE!</v>
      </c>
      <c r="L73" s="263"/>
      <c r="M73" s="241" t="s">
        <v>302</v>
      </c>
      <c r="N73" s="241"/>
      <c r="O73" s="284">
        <f>SUM(O66:O71)</f>
        <v>0</v>
      </c>
      <c r="P73" s="319"/>
      <c r="Q73" s="241" t="s">
        <v>323</v>
      </c>
      <c r="R73" s="49"/>
      <c r="S73" s="313"/>
      <c r="T73" s="66"/>
      <c r="U73" s="66"/>
      <c r="V73" s="66"/>
      <c r="W73" s="66"/>
      <c r="X73" s="66"/>
      <c r="Y73" s="66"/>
      <c r="Z73" s="66"/>
      <c r="AA73" s="66"/>
    </row>
    <row r="74" spans="2:27" ht="18" customHeight="1">
      <c r="B74" s="46"/>
      <c r="C74" s="222"/>
      <c r="D74" s="49"/>
      <c r="E74" s="49"/>
      <c r="F74" s="49"/>
      <c r="G74" s="49"/>
      <c r="H74" s="49"/>
      <c r="I74" s="49"/>
      <c r="J74" s="49"/>
      <c r="K74" s="49"/>
      <c r="L74" s="49"/>
      <c r="M74" s="49"/>
      <c r="N74" s="49"/>
      <c r="O74" s="49"/>
      <c r="P74" s="49"/>
      <c r="Q74" s="49"/>
      <c r="R74" s="49"/>
      <c r="S74" s="313"/>
      <c r="T74" s="66"/>
      <c r="U74" s="66"/>
      <c r="V74" s="66"/>
      <c r="W74" s="66"/>
      <c r="X74" s="66"/>
      <c r="Y74" s="66"/>
      <c r="Z74" s="66"/>
      <c r="AA74" s="66"/>
    </row>
    <row r="75" spans="2:27" ht="69.6" customHeight="1">
      <c r="B75" s="46"/>
      <c r="C75" s="222"/>
      <c r="D75" s="49"/>
      <c r="E75" s="232" t="s">
        <v>435</v>
      </c>
      <c r="F75" s="232"/>
      <c r="G75" s="232"/>
      <c r="H75" s="232"/>
      <c r="I75" s="232"/>
      <c r="J75" s="232"/>
      <c r="K75" s="232"/>
      <c r="L75" s="232"/>
      <c r="M75" s="232"/>
      <c r="N75" s="232"/>
      <c r="O75" s="232"/>
      <c r="P75" s="232"/>
      <c r="Q75" s="232"/>
      <c r="R75" s="232"/>
      <c r="S75" s="313"/>
      <c r="T75" s="66"/>
      <c r="U75" s="66"/>
      <c r="V75" s="66"/>
      <c r="W75" s="66"/>
      <c r="X75" s="66"/>
      <c r="Y75" s="66"/>
      <c r="Z75" s="66"/>
      <c r="AA75" s="66"/>
    </row>
    <row r="76" spans="2:27" ht="15.6">
      <c r="B76" s="46"/>
      <c r="C76" s="222"/>
      <c r="D76" s="49"/>
      <c r="E76" s="49"/>
      <c r="F76" s="49"/>
      <c r="G76" s="49"/>
      <c r="H76" s="49"/>
      <c r="I76" s="49"/>
      <c r="J76" s="49"/>
      <c r="K76" s="49"/>
      <c r="L76" s="49"/>
      <c r="M76" s="49"/>
      <c r="N76" s="49"/>
      <c r="O76" s="49"/>
      <c r="P76" s="49"/>
      <c r="Q76" s="49"/>
      <c r="R76" s="49"/>
      <c r="S76" s="313"/>
      <c r="T76" s="66"/>
      <c r="U76" s="66"/>
      <c r="V76" s="66"/>
      <c r="W76" s="66"/>
      <c r="X76" s="66"/>
      <c r="Y76" s="66"/>
      <c r="Z76" s="66"/>
      <c r="AA76" s="66"/>
    </row>
    <row r="77" spans="2:27" ht="15.6">
      <c r="B77" s="46"/>
      <c r="C77" s="222"/>
      <c r="D77" s="49"/>
      <c r="E77" s="48" t="s">
        <v>384</v>
      </c>
      <c r="F77" s="49" t="s">
        <v>427</v>
      </c>
      <c r="G77" s="49"/>
      <c r="H77" s="49"/>
      <c r="I77" s="49"/>
      <c r="J77" s="49"/>
      <c r="K77" s="140" t="s">
        <v>240</v>
      </c>
      <c r="L77" s="140"/>
      <c r="M77" s="140" t="s">
        <v>241</v>
      </c>
      <c r="N77" s="140"/>
      <c r="O77" s="140" t="s">
        <v>240</v>
      </c>
      <c r="P77" s="140"/>
      <c r="Q77" s="140"/>
      <c r="R77" s="49"/>
      <c r="S77" s="313"/>
      <c r="T77" s="66"/>
      <c r="U77" s="66"/>
      <c r="V77" s="66"/>
      <c r="W77" s="66"/>
      <c r="X77" s="66"/>
      <c r="Y77" s="66"/>
      <c r="Z77" s="66"/>
      <c r="AA77" s="66"/>
    </row>
    <row r="78" spans="2:27" ht="15.6">
      <c r="B78" s="46"/>
      <c r="C78" s="222"/>
      <c r="D78" s="49"/>
      <c r="E78" s="48"/>
      <c r="F78" s="49"/>
      <c r="G78" s="49"/>
      <c r="H78" s="49"/>
      <c r="I78" s="49"/>
      <c r="J78" s="49"/>
      <c r="K78" s="140" t="s">
        <v>410</v>
      </c>
      <c r="L78" s="49"/>
      <c r="M78" s="49"/>
      <c r="N78" s="49"/>
      <c r="O78" s="140" t="s">
        <v>410</v>
      </c>
      <c r="P78" s="140"/>
      <c r="Q78" s="140"/>
      <c r="R78" s="49"/>
      <c r="S78" s="313"/>
      <c r="T78" s="66"/>
      <c r="U78" s="66"/>
      <c r="V78" s="66"/>
      <c r="W78" s="66"/>
      <c r="X78" s="66"/>
      <c r="Y78" s="66"/>
      <c r="Z78" s="66"/>
      <c r="AA78" s="66"/>
    </row>
    <row r="79" spans="2:27" ht="15.6">
      <c r="B79" s="46"/>
      <c r="C79" s="222"/>
      <c r="D79" s="49"/>
      <c r="E79" s="140" t="s">
        <v>420</v>
      </c>
      <c r="F79" s="140"/>
      <c r="G79" s="140"/>
      <c r="H79" s="140"/>
      <c r="I79" s="140"/>
      <c r="J79" s="140"/>
      <c r="K79" s="276"/>
      <c r="L79" s="320"/>
      <c r="M79" s="235" t="s">
        <v>430</v>
      </c>
      <c r="N79" s="235"/>
      <c r="O79" s="262" t="e">
        <f>K79*($O$48-(-IF(K61&gt;0,K61,8)))</f>
        <v>#VALUE!</v>
      </c>
      <c r="P79" s="258"/>
      <c r="Q79" s="235" t="s">
        <v>293</v>
      </c>
      <c r="R79" s="49"/>
      <c r="S79" s="313"/>
      <c r="T79" s="66"/>
      <c r="U79" s="66"/>
      <c r="V79" s="66"/>
      <c r="W79" s="66"/>
      <c r="X79" s="66"/>
      <c r="Y79" s="66"/>
      <c r="Z79" s="66"/>
      <c r="AA79" s="66"/>
    </row>
    <row r="80" spans="2:27" ht="15.6">
      <c r="B80" s="46"/>
      <c r="C80" s="222"/>
      <c r="D80" s="49"/>
      <c r="E80" s="140" t="s">
        <v>421</v>
      </c>
      <c r="F80" s="140"/>
      <c r="G80" s="140"/>
      <c r="H80" s="140"/>
      <c r="I80" s="140"/>
      <c r="J80" s="140"/>
      <c r="K80" s="276"/>
      <c r="L80" s="320"/>
      <c r="M80" s="235" t="s">
        <v>430</v>
      </c>
      <c r="N80" s="235"/>
      <c r="O80" s="262" t="e">
        <f>K80*($O$48-(IF(K15="Yes",IF('Stage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P80" s="258"/>
      <c r="Q80" s="235" t="s">
        <v>293</v>
      </c>
      <c r="R80" s="49"/>
      <c r="S80" s="313"/>
      <c r="T80" s="66"/>
      <c r="U80" s="66"/>
      <c r="V80" s="66"/>
      <c r="W80" s="66"/>
      <c r="X80" s="66"/>
      <c r="Y80" s="66"/>
      <c r="Z80" s="66"/>
      <c r="AA80" s="66"/>
    </row>
    <row r="81" spans="2:27" ht="15.6">
      <c r="B81" s="46"/>
      <c r="C81" s="222"/>
      <c r="D81" s="49"/>
      <c r="E81" s="140" t="s">
        <v>79</v>
      </c>
      <c r="F81" s="140"/>
      <c r="G81" s="140"/>
      <c r="H81" s="140"/>
      <c r="I81" s="140"/>
      <c r="J81" s="140"/>
      <c r="K81" s="276"/>
      <c r="L81" s="320"/>
      <c r="M81" s="235" t="s">
        <v>430</v>
      </c>
      <c r="N81" s="235"/>
      <c r="O81" s="262" t="e">
        <f>K81*($O$48-'Data Tables'!O7)</f>
        <v>#VALUE!</v>
      </c>
      <c r="P81" s="258"/>
      <c r="Q81" s="235" t="s">
        <v>293</v>
      </c>
      <c r="R81" s="49"/>
      <c r="S81" s="313"/>
      <c r="T81" s="66"/>
      <c r="U81" s="66"/>
      <c r="V81" s="66"/>
      <c r="W81" s="66"/>
      <c r="X81" s="66"/>
      <c r="Y81" s="66"/>
      <c r="Z81" s="66"/>
      <c r="AA81" s="66"/>
    </row>
    <row r="82" spans="2:27" ht="15.6">
      <c r="B82" s="46"/>
      <c r="C82" s="222"/>
      <c r="D82" s="49"/>
      <c r="E82" s="140" t="s">
        <v>75</v>
      </c>
      <c r="F82" s="140"/>
      <c r="G82" s="140"/>
      <c r="H82" s="140"/>
      <c r="I82" s="140"/>
      <c r="J82" s="140"/>
      <c r="K82" s="276"/>
      <c r="L82" s="320"/>
      <c r="M82" s="235" t="s">
        <v>430</v>
      </c>
      <c r="N82" s="235"/>
      <c r="O82" s="262" t="e">
        <f>K82*($O$48-'Data Tables'!O5)</f>
        <v>#VALUE!</v>
      </c>
      <c r="P82" s="258"/>
      <c r="Q82" s="235" t="s">
        <v>293</v>
      </c>
      <c r="R82" s="49"/>
      <c r="S82" s="313"/>
      <c r="T82" s="66"/>
      <c r="U82" s="66"/>
      <c r="V82" s="66"/>
      <c r="W82" s="66"/>
      <c r="X82" s="66"/>
      <c r="Y82" s="66"/>
      <c r="Z82" s="66"/>
      <c r="AA82" s="66"/>
    </row>
    <row r="83" spans="2:27" ht="15.6">
      <c r="B83" s="46"/>
      <c r="C83" s="222"/>
      <c r="D83" s="49"/>
      <c r="E83" s="140" t="s">
        <v>422</v>
      </c>
      <c r="F83" s="140"/>
      <c r="G83" s="140"/>
      <c r="H83" s="140"/>
      <c r="I83" s="140"/>
      <c r="J83" s="140"/>
      <c r="K83" s="276"/>
      <c r="L83" s="320"/>
      <c r="M83" s="235" t="s">
        <v>430</v>
      </c>
      <c r="N83" s="235"/>
      <c r="O83" s="262" t="e">
        <f>K83*($O$48-'Data Tables'!O6)</f>
        <v>#VALUE!</v>
      </c>
      <c r="P83" s="258"/>
      <c r="Q83" s="235" t="s">
        <v>293</v>
      </c>
      <c r="R83" s="49"/>
      <c r="S83" s="313"/>
      <c r="T83" s="66"/>
      <c r="U83" s="66"/>
      <c r="V83" s="66"/>
      <c r="W83" s="66"/>
      <c r="X83" s="66"/>
      <c r="Y83" s="66"/>
      <c r="Z83" s="66"/>
      <c r="AA83" s="66"/>
    </row>
    <row r="84" spans="2:27" ht="26.1" customHeight="1">
      <c r="B84" s="46"/>
      <c r="C84" s="222"/>
      <c r="D84" s="49"/>
      <c r="E84" s="140" t="s">
        <v>423</v>
      </c>
      <c r="F84" s="140"/>
      <c r="G84" s="140"/>
      <c r="H84" s="140"/>
      <c r="I84" s="140"/>
      <c r="J84" s="140"/>
      <c r="K84" s="276"/>
      <c r="L84" s="320"/>
      <c r="M84" s="235" t="s">
        <v>430</v>
      </c>
      <c r="N84" s="235"/>
      <c r="O84" s="262" t="e">
        <f>K84*($O$48-'Data Tables'!O4)</f>
        <v>#VALUE!</v>
      </c>
      <c r="P84" s="258"/>
      <c r="Q84" s="235" t="s">
        <v>293</v>
      </c>
      <c r="R84" s="49"/>
      <c r="S84" s="313"/>
      <c r="T84" s="66"/>
      <c r="U84" s="66"/>
      <c r="V84" s="66"/>
      <c r="W84" s="66"/>
      <c r="X84" s="66"/>
      <c r="Y84" s="66"/>
      <c r="Z84" s="66"/>
      <c r="AA84" s="66"/>
    </row>
    <row r="85" spans="2:27" ht="30" customHeight="1">
      <c r="B85" s="46"/>
      <c r="C85" s="222"/>
      <c r="D85" s="49"/>
      <c r="E85" s="49"/>
      <c r="F85" s="49"/>
      <c r="G85" s="49"/>
      <c r="H85" s="49"/>
      <c r="I85" s="49"/>
      <c r="J85" s="49"/>
      <c r="K85" s="321"/>
      <c r="L85" s="321"/>
      <c r="M85" s="235"/>
      <c r="N85" s="235"/>
      <c r="O85" s="235"/>
      <c r="P85" s="235"/>
      <c r="Q85" s="235"/>
      <c r="R85" s="49"/>
      <c r="S85" s="313"/>
      <c r="T85" s="66"/>
      <c r="U85" s="66"/>
      <c r="V85" s="66"/>
      <c r="W85" s="66"/>
      <c r="X85" s="66"/>
      <c r="Y85" s="66"/>
      <c r="Z85" s="66"/>
      <c r="AA85" s="66"/>
    </row>
    <row r="86" spans="2:27" ht="29.7" customHeight="1">
      <c r="B86" s="46"/>
      <c r="C86" s="222"/>
      <c r="D86" s="49"/>
      <c r="E86" s="49"/>
      <c r="F86" s="142" t="s">
        <v>428</v>
      </c>
      <c r="G86" s="142"/>
      <c r="H86" s="142"/>
      <c r="I86" s="142"/>
      <c r="J86" s="49"/>
      <c r="K86" s="284">
        <f>(SUM(K79:K84))</f>
        <v>0</v>
      </c>
      <c r="L86" s="319"/>
      <c r="M86" s="241" t="s">
        <v>430</v>
      </c>
      <c r="N86" s="241"/>
      <c r="O86" s="267" t="e">
        <f>K10-(SUM(O79:O84))</f>
        <v>#VALUE!</v>
      </c>
      <c r="P86" s="263"/>
      <c r="Q86" s="241" t="s">
        <v>302</v>
      </c>
      <c r="R86" s="49"/>
      <c r="S86" s="313"/>
      <c r="T86" s="66"/>
      <c r="U86" s="66"/>
      <c r="V86" s="66"/>
      <c r="W86" s="66"/>
      <c r="X86" s="66"/>
      <c r="Y86" s="66"/>
      <c r="Z86" s="66"/>
      <c r="AA86" s="66"/>
    </row>
    <row r="87" spans="2:27" ht="15" customHeight="1">
      <c r="B87" s="46"/>
      <c r="C87" s="222"/>
      <c r="D87" s="49"/>
      <c r="E87" s="49"/>
      <c r="F87" s="49"/>
      <c r="G87" s="49"/>
      <c r="H87" s="49"/>
      <c r="I87" s="49"/>
      <c r="J87" s="49"/>
      <c r="K87" s="49"/>
      <c r="L87" s="49"/>
      <c r="M87" s="49"/>
      <c r="N87" s="49"/>
      <c r="O87" s="49"/>
      <c r="P87" s="49"/>
      <c r="Q87" s="49"/>
      <c r="R87" s="49"/>
      <c r="S87" s="313"/>
      <c r="T87" s="66"/>
      <c r="U87" s="66"/>
      <c r="V87" s="66"/>
      <c r="W87" s="66"/>
      <c r="X87" s="66"/>
      <c r="Y87" s="66"/>
      <c r="Z87" s="66"/>
      <c r="AA87" s="66"/>
    </row>
    <row r="88" spans="2:27" ht="44.1" customHeight="1" thickBot="1">
      <c r="B88" s="50"/>
      <c r="C88" s="265"/>
      <c r="D88" s="311"/>
      <c r="E88" s="326" t="s">
        <v>436</v>
      </c>
      <c r="F88" s="326"/>
      <c r="G88" s="326"/>
      <c r="H88" s="326"/>
      <c r="I88" s="326"/>
      <c r="J88" s="326"/>
      <c r="K88" s="326"/>
      <c r="L88" s="326"/>
      <c r="M88" s="326"/>
      <c r="N88" s="326"/>
      <c r="O88" s="326"/>
      <c r="P88" s="326"/>
      <c r="Q88" s="326"/>
      <c r="R88" s="326"/>
      <c r="S88" s="322"/>
      <c r="T88" s="66"/>
      <c r="U88" s="66"/>
      <c r="V88" s="66"/>
      <c r="W88" s="66"/>
      <c r="X88" s="66"/>
      <c r="Y88" s="66"/>
      <c r="Z88" s="66"/>
      <c r="AA88" s="66"/>
    </row>
    <row r="89" spans="2:27" ht="18" customHeight="1">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row>
    <row r="90"/>
  </sheetData>
  <sheetProtection algorithmName="SHA-512" hashValue="UZuJq1EwnhVvcP8AZ76FO448UJmttF4YVrsyucIRAaemwPEBl6MfKaVZ33WOWdYMqHbQM1XV3BWi4Rm11rqmmg==" saltValue="2UkGvPvkRsQ2F0Zv1k+dvQ==" spinCount="100000" sheet="1" selectLockedCells="1"/>
  <mergeCells count="83">
    <mergeCell ref="E82:I82"/>
    <mergeCell ref="E83:I83"/>
    <mergeCell ref="E84:I84"/>
    <mergeCell ref="F86:I86"/>
    <mergeCell ref="E88:R88"/>
    <mergeCell ref="E81:I81"/>
    <mergeCell ref="E62:R62"/>
    <mergeCell ref="E66:I66"/>
    <mergeCell ref="E67:I67"/>
    <mergeCell ref="E68:I68"/>
    <mergeCell ref="E69:I69"/>
    <mergeCell ref="E70:I70"/>
    <mergeCell ref="E71:I71"/>
    <mergeCell ref="F73:I73"/>
    <mergeCell ref="E75:R75"/>
    <mergeCell ref="E79:I79"/>
    <mergeCell ref="E80:I80"/>
    <mergeCell ref="G61:J61"/>
    <mergeCell ref="E45:I45"/>
    <mergeCell ref="R45:V45"/>
    <mergeCell ref="I48:N48"/>
    <mergeCell ref="F51:J51"/>
    <mergeCell ref="E53:I53"/>
    <mergeCell ref="E54:I54"/>
    <mergeCell ref="E55:I55"/>
    <mergeCell ref="E56:I56"/>
    <mergeCell ref="E57:I57"/>
    <mergeCell ref="E58:I58"/>
    <mergeCell ref="F60:J60"/>
    <mergeCell ref="E41:I41"/>
    <mergeCell ref="R41:V41"/>
    <mergeCell ref="E42:I42"/>
    <mergeCell ref="R42:V42"/>
    <mergeCell ref="E43:I43"/>
    <mergeCell ref="R43:V43"/>
    <mergeCell ref="E39:I39"/>
    <mergeCell ref="R39:V39"/>
    <mergeCell ref="E40:I40"/>
    <mergeCell ref="R40:V40"/>
    <mergeCell ref="E36:I36"/>
    <mergeCell ref="R36:V36"/>
    <mergeCell ref="E37:I37"/>
    <mergeCell ref="R37:V37"/>
    <mergeCell ref="E38:I38"/>
    <mergeCell ref="R38:V38"/>
    <mergeCell ref="E33:I33"/>
    <mergeCell ref="R33:V33"/>
    <mergeCell ref="E34:I34"/>
    <mergeCell ref="R34:V34"/>
    <mergeCell ref="E35:I35"/>
    <mergeCell ref="R35:V35"/>
    <mergeCell ref="E30:I30"/>
    <mergeCell ref="R30:V30"/>
    <mergeCell ref="E31:I31"/>
    <mergeCell ref="R31:V31"/>
    <mergeCell ref="E32:I32"/>
    <mergeCell ref="R32:V32"/>
    <mergeCell ref="E27:I27"/>
    <mergeCell ref="R27:V27"/>
    <mergeCell ref="E28:I28"/>
    <mergeCell ref="R28:V28"/>
    <mergeCell ref="E29:I29"/>
    <mergeCell ref="R29:V29"/>
    <mergeCell ref="E26:I26"/>
    <mergeCell ref="R26:V26"/>
    <mergeCell ref="E17:N17"/>
    <mergeCell ref="R17:X17"/>
    <mergeCell ref="R18:X18"/>
    <mergeCell ref="F19:J19"/>
    <mergeCell ref="R20:V20"/>
    <mergeCell ref="F21:J21"/>
    <mergeCell ref="R21:V21"/>
    <mergeCell ref="R22:V22"/>
    <mergeCell ref="R23:V23"/>
    <mergeCell ref="Q24:AA24"/>
    <mergeCell ref="F25:J25"/>
    <mergeCell ref="R25:V25"/>
    <mergeCell ref="F3:R3"/>
    <mergeCell ref="E4:R6"/>
    <mergeCell ref="F8:J8"/>
    <mergeCell ref="F13:J13"/>
    <mergeCell ref="K15:L15"/>
    <mergeCell ref="R15:V15"/>
  </mergeCells>
  <dataValidations count="4">
    <dataValidation type="list" allowBlank="1" showInputMessage="1" showErrorMessage="1" sqref="W21">
      <formula1>"Freely draining, Impermeable - drained for arable, Impermeable - drained for arable and grassland"</formula1>
    </dataValidation>
    <dataValidation type="list" allowBlank="1" showInputMessage="1" showErrorMessage="1" sqref="W20">
      <formula1>"Wensum, Yare, Bure"</formula1>
    </dataValidation>
    <dataValidation type="list" allowBlank="1" showInputMessage="1" showErrorMessage="1" sqref="W15 M21:M23 K15:L15 W23 M26:M43 W26:W43">
      <formula1>"Yes,No"</formula1>
    </dataValidation>
    <dataValidation type="list" allowBlank="1" showInputMessage="1" showErrorMessage="1" sqref="W22">
      <formula1>"550-575,575-600,600-625,625-650,650-675,675-700,700-750,750-800,800-850,850-900"</formula1>
    </dataValidation>
  </dataValidations>
  <hyperlinks>
    <hyperlink ref="Q24:AA24" location="Help!C98" display="Note: Identify the soil drainage type from the Viewer, and use the criteria table in the Help tab to identify if the soil is either permeable or impermeable"/>
  </hyperlinks>
  <pageMargins left="0.25" right="0.25" top="0.75" bottom="0.75" header="0.3" footer="0.3"/>
  <pageSetup paperSize="9" scale="45" orientation="portrait" horizontalDpi="360" verticalDpi="360"/>
  <headerFooter scaleWithDoc="1" alignWithMargins="1" differentFirst="0" differentOddEven="0">
    <oddHeader>&amp;LPhosphate Budget Calculator&amp;CStage 5</oddHeader>
    <oddFooter>&amp;LVersion 2.2&amp;R&amp;D</oddFooter>
  </headerFooter>
  <customProperties>
    <customPr name="SSC_SHEET_GUID" r:id="rId2"/>
  </customProperties>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BA98"/>
  <sheetViews>
    <sheetView topLeftCell="A63" zoomScale="85" view="normal" workbookViewId="0">
      <selection pane="topLeft" activeCell="K16" sqref="K16:M16"/>
    </sheetView>
  </sheetViews>
  <sheetFormatPr zeroHeight="true" defaultRowHeight="13.2"/>
  <cols>
    <col min="2" max="3" width="0.70703125" customWidth="1"/>
    <col min="4" max="4" width="2.27734375" customWidth="1"/>
    <col min="5" max="5" width="11.7109375" customWidth="1"/>
    <col min="7" max="7" width="10" customWidth="1"/>
    <col min="8" max="8" width="10.27734375" customWidth="1"/>
    <col min="9" max="9" width="14" customWidth="1"/>
    <col min="10" max="10" width="13.5703125" customWidth="1"/>
    <col min="11" max="11" width="10" customWidth="1"/>
    <col min="12" max="12" width="2.27734375" customWidth="1"/>
    <col min="13" max="13" width="10" customWidth="1"/>
    <col min="14" max="14" width="12.7109375" customWidth="1"/>
    <col min="15" max="15" width="16" customWidth="1"/>
    <col min="16" max="16" width="10.5703125" customWidth="1"/>
    <col min="17" max="17" width="2.27734375" customWidth="1"/>
    <col min="18" max="18" width="10.27734375" customWidth="1"/>
    <col min="19" max="19" width="11.41796875" customWidth="1"/>
    <col min="20" max="20" width="5.41796875" customWidth="1"/>
    <col min="21" max="21" width="0.70703125" customWidth="1"/>
    <col min="22" max="22" width="12.27734375" customWidth="1"/>
    <col min="24" max="24" width="25.5703125" customWidth="1"/>
    <col min="25" max="25" width="12.27734375" customWidth="1"/>
    <col min="26" max="26" width="11.27734375" customWidth="1"/>
    <col min="27" max="27" width="7" hidden="1" customWidth="1"/>
    <col min="28" max="28" width="0.28125" hidden="1" customWidth="1"/>
    <col min="29" max="29" width="2.27734375" customWidth="1"/>
    <col min="34" max="34" width="8.7109375" customWidth="1"/>
  </cols>
  <sheetData>
    <row r="1" spans="1:1" ht="9" customHeight="1" thickBot="1">
      <c r="A1" s="40" t="s">
        <v>35</v>
      </c>
    </row>
    <row r="2" spans="2:29" ht="9" customHeight="1">
      <c r="B2" s="43"/>
      <c r="C2" s="44"/>
      <c r="D2" s="302"/>
      <c r="E2" s="302"/>
      <c r="F2" s="302"/>
      <c r="G2" s="302"/>
      <c r="H2" s="302"/>
      <c r="I2" s="302"/>
      <c r="J2" s="302"/>
      <c r="K2" s="302"/>
      <c r="L2" s="302"/>
      <c r="M2" s="302"/>
      <c r="N2" s="302"/>
      <c r="O2" s="302"/>
      <c r="P2" s="302"/>
      <c r="Q2" s="302"/>
      <c r="R2" s="302"/>
      <c r="S2" s="302"/>
      <c r="T2" s="302"/>
      <c r="U2" s="303"/>
      <c r="V2" s="224"/>
      <c r="W2" s="224"/>
      <c r="X2" s="224"/>
      <c r="Y2" s="224"/>
      <c r="Z2" s="224"/>
      <c r="AA2" s="224"/>
      <c r="AB2" s="224"/>
      <c r="AC2" s="224"/>
    </row>
    <row r="3" spans="2:29" ht="28.5" customHeight="1">
      <c r="B3" s="46"/>
      <c r="C3" s="40"/>
      <c r="D3" s="272"/>
      <c r="E3" s="192" t="s">
        <v>35</v>
      </c>
      <c r="F3" s="229" t="s">
        <v>396</v>
      </c>
      <c r="G3" s="229"/>
      <c r="H3" s="229"/>
      <c r="I3" s="229"/>
      <c r="J3" s="229"/>
      <c r="K3" s="229"/>
      <c r="L3" s="229"/>
      <c r="M3" s="229"/>
      <c r="N3" s="229"/>
      <c r="O3" s="229"/>
      <c r="P3" s="229"/>
      <c r="Q3" s="229"/>
      <c r="R3" s="229"/>
      <c r="S3" s="229"/>
      <c r="T3" s="229"/>
      <c r="U3" s="230"/>
      <c r="V3" s="224"/>
      <c r="W3" s="224"/>
      <c r="X3" s="224"/>
      <c r="Y3" s="224"/>
      <c r="Z3" s="224"/>
      <c r="AA3" s="224"/>
      <c r="AB3" s="224"/>
      <c r="AC3" s="224"/>
    </row>
    <row r="4" spans="2:29" ht="6.75" customHeight="1">
      <c r="B4" s="46"/>
      <c r="C4" s="54"/>
      <c r="D4" s="273"/>
      <c r="E4" s="232" t="s">
        <v>397</v>
      </c>
      <c r="F4" s="232"/>
      <c r="G4" s="232"/>
      <c r="H4" s="232"/>
      <c r="I4" s="232"/>
      <c r="J4" s="232"/>
      <c r="K4" s="232"/>
      <c r="L4" s="232"/>
      <c r="M4" s="232"/>
      <c r="N4" s="232"/>
      <c r="O4" s="232"/>
      <c r="P4" s="232"/>
      <c r="Q4" s="232"/>
      <c r="R4" s="232"/>
      <c r="S4" s="232"/>
      <c r="T4" s="232"/>
      <c r="U4" s="230"/>
      <c r="V4" s="224"/>
      <c r="W4" s="224"/>
      <c r="X4" s="224"/>
      <c r="Y4" s="224"/>
      <c r="Z4" s="224"/>
      <c r="AA4" s="224"/>
      <c r="AB4" s="224"/>
      <c r="AC4" s="224"/>
    </row>
    <row r="5" spans="2:29" ht="6.75" customHeight="1">
      <c r="B5" s="46"/>
      <c r="C5" s="54"/>
      <c r="D5" s="273"/>
      <c r="E5" s="232"/>
      <c r="F5" s="232"/>
      <c r="G5" s="232"/>
      <c r="H5" s="232"/>
      <c r="I5" s="232"/>
      <c r="J5" s="232"/>
      <c r="K5" s="232"/>
      <c r="L5" s="232"/>
      <c r="M5" s="232"/>
      <c r="N5" s="232"/>
      <c r="O5" s="232"/>
      <c r="P5" s="232"/>
      <c r="Q5" s="232"/>
      <c r="R5" s="232"/>
      <c r="S5" s="232"/>
      <c r="T5" s="232"/>
      <c r="U5" s="230"/>
      <c r="V5" s="224"/>
      <c r="W5" s="224"/>
      <c r="X5" s="224"/>
      <c r="Y5" s="224"/>
      <c r="Z5" s="224"/>
      <c r="AA5" s="224"/>
      <c r="AB5" s="224"/>
      <c r="AC5" s="224"/>
    </row>
    <row r="6" spans="2:29" ht="24.75" customHeight="1">
      <c r="B6" s="46"/>
      <c r="C6" s="42"/>
      <c r="D6" s="222"/>
      <c r="E6" s="232"/>
      <c r="F6" s="232"/>
      <c r="G6" s="232"/>
      <c r="H6" s="232"/>
      <c r="I6" s="232"/>
      <c r="J6" s="232"/>
      <c r="K6" s="232"/>
      <c r="L6" s="232"/>
      <c r="M6" s="232"/>
      <c r="N6" s="232"/>
      <c r="O6" s="232"/>
      <c r="P6" s="232"/>
      <c r="Q6" s="232"/>
      <c r="R6" s="232"/>
      <c r="S6" s="232"/>
      <c r="T6" s="232"/>
      <c r="U6" s="230"/>
      <c r="V6" s="224"/>
      <c r="W6" s="224"/>
      <c r="X6" s="224"/>
      <c r="Y6" s="224"/>
      <c r="Z6" s="224"/>
      <c r="AA6" s="224"/>
      <c r="AB6" s="224"/>
      <c r="AC6" s="224"/>
    </row>
    <row r="7" spans="2:29" ht="21" customHeight="1">
      <c r="B7" s="46"/>
      <c r="C7" s="42"/>
      <c r="D7" s="266"/>
      <c r="E7" s="274"/>
      <c r="F7" s="274"/>
      <c r="G7" s="274"/>
      <c r="H7" s="274"/>
      <c r="I7" s="274"/>
      <c r="J7" s="274"/>
      <c r="K7" s="274"/>
      <c r="L7" s="274"/>
      <c r="M7" s="274"/>
      <c r="N7" s="274"/>
      <c r="O7" s="274"/>
      <c r="P7" s="274"/>
      <c r="Q7" s="274"/>
      <c r="R7" s="274"/>
      <c r="S7" s="274"/>
      <c r="T7" s="274"/>
      <c r="U7" s="230"/>
      <c r="V7" s="224"/>
      <c r="W7" s="224"/>
      <c r="X7" s="224"/>
      <c r="Y7" s="224"/>
      <c r="Z7" s="224"/>
      <c r="AA7" s="224"/>
      <c r="AB7" s="224"/>
      <c r="AC7" s="224"/>
    </row>
    <row r="8" spans="2:29" ht="37.5" customHeight="1">
      <c r="B8" s="46"/>
      <c r="C8" s="55"/>
      <c r="D8" s="222"/>
      <c r="E8" s="48" t="s">
        <v>238</v>
      </c>
      <c r="F8" s="138" t="s">
        <v>398</v>
      </c>
      <c r="G8" s="138"/>
      <c r="H8" s="138"/>
      <c r="I8" s="138"/>
      <c r="J8" s="138"/>
      <c r="K8" s="140" t="s">
        <v>240</v>
      </c>
      <c r="L8" s="140"/>
      <c r="M8" s="140" t="s">
        <v>241</v>
      </c>
      <c r="N8" s="221"/>
      <c r="O8" s="140"/>
      <c r="P8" s="140"/>
      <c r="Q8" s="140"/>
      <c r="R8" s="140"/>
      <c r="S8" s="140"/>
      <c r="T8" s="49"/>
      <c r="U8" s="230"/>
      <c r="V8" s="224"/>
      <c r="W8" s="224"/>
      <c r="X8" s="224"/>
      <c r="Y8" s="224"/>
      <c r="Z8" s="224"/>
      <c r="AA8" s="224"/>
      <c r="AB8" s="224"/>
      <c r="AC8" s="224"/>
    </row>
    <row r="9" spans="2:29" ht="4.5" customHeight="1">
      <c r="B9" s="46"/>
      <c r="C9" s="42"/>
      <c r="D9" s="222"/>
      <c r="E9" s="49"/>
      <c r="F9" s="49"/>
      <c r="G9" s="49"/>
      <c r="H9" s="49"/>
      <c r="I9" s="49"/>
      <c r="J9" s="49"/>
      <c r="K9" s="49"/>
      <c r="L9" s="49"/>
      <c r="M9" s="49"/>
      <c r="N9" s="221"/>
      <c r="O9" s="49"/>
      <c r="P9" s="49"/>
      <c r="Q9" s="49"/>
      <c r="R9" s="49"/>
      <c r="S9" s="49"/>
      <c r="T9" s="49"/>
      <c r="U9" s="230"/>
      <c r="V9" s="224"/>
      <c r="W9" s="224"/>
      <c r="X9" s="224"/>
      <c r="Y9" s="224"/>
      <c r="Z9" s="224"/>
      <c r="AA9" s="224"/>
      <c r="AB9" s="224"/>
      <c r="AC9" s="224"/>
    </row>
    <row r="10" spans="2:29" ht="31.2" customHeight="1">
      <c r="B10" s="46"/>
      <c r="C10" s="42"/>
      <c r="D10" s="222"/>
      <c r="E10" s="49"/>
      <c r="F10" s="38" t="s">
        <v>399</v>
      </c>
      <c r="G10" s="49"/>
      <c r="H10" s="49"/>
      <c r="I10" s="49"/>
      <c r="J10" s="49"/>
      <c r="K10" s="267">
        <f>IF('Stage 4'!O43&gt;0,'Stage 4'!O43,0)</f>
        <v>0</v>
      </c>
      <c r="L10" s="263"/>
      <c r="M10" s="241" t="s">
        <v>302</v>
      </c>
      <c r="N10" s="221"/>
      <c r="O10" s="241"/>
      <c r="P10" s="241"/>
      <c r="Q10" s="241"/>
      <c r="R10" s="241"/>
      <c r="S10" s="241"/>
      <c r="T10" s="49"/>
      <c r="U10" s="230"/>
      <c r="V10" s="224"/>
      <c r="W10" s="224"/>
      <c r="X10" s="224"/>
      <c r="Y10" s="224"/>
      <c r="Z10" s="224"/>
      <c r="AA10" s="224"/>
      <c r="AB10" s="224"/>
      <c r="AC10" s="224"/>
    </row>
    <row r="11" spans="2:29" ht="23.7" customHeight="1">
      <c r="B11" s="46"/>
      <c r="C11" s="42"/>
      <c r="D11" s="222"/>
      <c r="E11" s="49"/>
      <c r="F11" s="38" t="s">
        <v>400</v>
      </c>
      <c r="G11" s="49"/>
      <c r="H11" s="49"/>
      <c r="I11" s="49"/>
      <c r="J11" s="49"/>
      <c r="K11" s="267">
        <f>IF('Stage 4'!O44&gt;0,'Stage 4'!O44,0)</f>
        <v>0</v>
      </c>
      <c r="L11" s="263"/>
      <c r="M11" s="241" t="s">
        <v>302</v>
      </c>
      <c r="N11" s="221"/>
      <c r="O11" s="241"/>
      <c r="P11" s="241"/>
      <c r="Q11" s="241"/>
      <c r="R11" s="241"/>
      <c r="S11" s="241"/>
      <c r="T11" s="49"/>
      <c r="U11" s="230"/>
      <c r="V11" s="224"/>
      <c r="W11" s="224"/>
      <c r="X11" s="224"/>
      <c r="Y11" s="224"/>
      <c r="Z11" s="224"/>
      <c r="AA11" s="224"/>
      <c r="AB11" s="224"/>
      <c r="AC11" s="224"/>
    </row>
    <row r="12" spans="2:29" ht="17.7" customHeight="1" thickBot="1">
      <c r="B12" s="46"/>
      <c r="C12" s="42"/>
      <c r="D12" s="222"/>
      <c r="E12" s="49"/>
      <c r="F12" s="49"/>
      <c r="G12" s="49"/>
      <c r="H12" s="49"/>
      <c r="I12" s="49"/>
      <c r="J12" s="49"/>
      <c r="K12" s="49"/>
      <c r="L12" s="49"/>
      <c r="M12" s="49"/>
      <c r="N12" s="49"/>
      <c r="O12" s="49"/>
      <c r="P12" s="49"/>
      <c r="Q12" s="49"/>
      <c r="R12" s="242"/>
      <c r="S12" s="242"/>
      <c r="T12" s="242"/>
      <c r="U12" s="230"/>
      <c r="V12" s="304"/>
      <c r="W12" s="246"/>
      <c r="X12" s="246"/>
      <c r="Y12" s="246"/>
      <c r="Z12" s="246"/>
      <c r="AA12" s="246"/>
      <c r="AB12" s="246"/>
      <c r="AC12" s="246"/>
    </row>
    <row r="13" spans="2:29" ht="7.2" customHeight="1">
      <c r="B13" s="46"/>
      <c r="C13" s="42"/>
      <c r="D13" s="266"/>
      <c r="E13" s="253"/>
      <c r="F13" s="253"/>
      <c r="G13" s="253"/>
      <c r="H13" s="253"/>
      <c r="I13" s="253"/>
      <c r="J13" s="253"/>
      <c r="K13" s="253"/>
      <c r="L13" s="253"/>
      <c r="M13" s="253"/>
      <c r="N13" s="253"/>
      <c r="O13" s="253"/>
      <c r="P13" s="253"/>
      <c r="Q13" s="253"/>
      <c r="R13" s="49"/>
      <c r="S13" s="49"/>
      <c r="T13" s="49"/>
      <c r="U13" s="222"/>
      <c r="V13" s="222"/>
      <c r="W13" s="222"/>
      <c r="X13" s="222"/>
      <c r="Y13" s="222"/>
      <c r="Z13" s="222"/>
      <c r="AA13" s="222"/>
      <c r="AB13" s="222"/>
      <c r="AC13" s="305"/>
    </row>
    <row r="14" spans="2:29" ht="16.2" customHeight="1">
      <c r="B14" s="46"/>
      <c r="C14" s="42"/>
      <c r="D14" s="222"/>
      <c r="E14" s="48" t="s">
        <v>259</v>
      </c>
      <c r="F14" s="138" t="s">
        <v>401</v>
      </c>
      <c r="G14" s="138"/>
      <c r="H14" s="138"/>
      <c r="I14" s="138"/>
      <c r="J14" s="138"/>
      <c r="K14" s="49"/>
      <c r="L14" s="49"/>
      <c r="M14" s="49"/>
      <c r="N14" s="49"/>
      <c r="O14" s="49"/>
      <c r="P14" s="49"/>
      <c r="Q14" s="49"/>
      <c r="R14" s="49"/>
      <c r="S14" s="49"/>
      <c r="T14" s="49"/>
      <c r="U14" s="49"/>
      <c r="V14" s="49"/>
      <c r="W14" s="49"/>
      <c r="X14" s="49"/>
      <c r="Y14" s="49"/>
      <c r="Z14" s="49"/>
      <c r="AA14" s="49"/>
      <c r="AB14" s="49"/>
      <c r="AC14" s="306"/>
    </row>
    <row r="15" spans="2:29" ht="10.5" customHeight="1">
      <c r="B15" s="46"/>
      <c r="C15" s="42"/>
      <c r="D15" s="222"/>
      <c r="E15" s="49"/>
      <c r="F15" s="49"/>
      <c r="G15" s="49"/>
      <c r="H15" s="49"/>
      <c r="I15" s="49"/>
      <c r="J15" s="49"/>
      <c r="K15" s="49"/>
      <c r="L15" s="49"/>
      <c r="M15" s="49"/>
      <c r="N15" s="49"/>
      <c r="O15" s="49"/>
      <c r="P15" s="252"/>
      <c r="Q15" s="49"/>
      <c r="R15" s="49"/>
      <c r="S15" s="49"/>
      <c r="T15" s="49"/>
      <c r="U15" s="49"/>
      <c r="V15" s="49"/>
      <c r="W15" s="49"/>
      <c r="X15" s="49"/>
      <c r="Y15" s="66"/>
      <c r="Z15" s="49"/>
      <c r="AA15" s="49"/>
      <c r="AB15" s="49"/>
      <c r="AC15" s="306"/>
    </row>
    <row r="16" spans="2:29" ht="14.7" customHeight="1">
      <c r="B16" s="46"/>
      <c r="C16" s="42"/>
      <c r="D16" s="222"/>
      <c r="E16" s="66" t="s">
        <v>402</v>
      </c>
      <c r="F16" s="49" t="s">
        <v>403</v>
      </c>
      <c r="G16" s="49"/>
      <c r="H16" s="49"/>
      <c r="I16" s="49"/>
      <c r="J16" s="49"/>
      <c r="K16" s="233" t="s">
        <v>269</v>
      </c>
      <c r="L16" s="233"/>
      <c r="M16" s="233"/>
      <c r="N16" s="66"/>
      <c r="O16" s="49"/>
      <c r="P16" s="252"/>
      <c r="Q16" s="49"/>
      <c r="R16" s="67" t="s">
        <v>404</v>
      </c>
      <c r="S16" s="67"/>
      <c r="T16" s="138" t="s">
        <v>405</v>
      </c>
      <c r="U16" s="138"/>
      <c r="V16" s="138"/>
      <c r="W16" s="138"/>
      <c r="X16" s="138"/>
      <c r="Y16" s="233" t="s">
        <v>269</v>
      </c>
      <c r="Z16" s="49"/>
      <c r="AA16" s="49"/>
      <c r="AB16" s="49"/>
      <c r="AC16" s="306"/>
    </row>
    <row r="17" spans="2:29" ht="14.7" customHeight="1">
      <c r="B17" s="46"/>
      <c r="C17" s="42"/>
      <c r="D17" s="222"/>
      <c r="E17" s="49"/>
      <c r="F17" s="49"/>
      <c r="G17" s="49"/>
      <c r="H17" s="49"/>
      <c r="I17" s="49"/>
      <c r="J17" s="49"/>
      <c r="K17" s="49"/>
      <c r="L17" s="49"/>
      <c r="M17" s="49"/>
      <c r="N17" s="49"/>
      <c r="O17" s="49"/>
      <c r="P17" s="252"/>
      <c r="Q17" s="49"/>
      <c r="R17" s="49"/>
      <c r="S17" s="49"/>
      <c r="T17" s="49"/>
      <c r="U17" s="49"/>
      <c r="V17" s="49"/>
      <c r="W17" s="49"/>
      <c r="X17" s="49"/>
      <c r="Y17" s="49"/>
      <c r="Z17" s="49"/>
      <c r="AA17" s="49"/>
      <c r="AB17" s="49"/>
      <c r="AC17" s="306"/>
    </row>
    <row r="18" spans="2:29" ht="45" customHeight="1">
      <c r="B18" s="46"/>
      <c r="C18" s="42"/>
      <c r="D18" s="222"/>
      <c r="E18" s="307" t="s">
        <v>406</v>
      </c>
      <c r="F18" s="307"/>
      <c r="G18" s="307"/>
      <c r="H18" s="307"/>
      <c r="I18" s="307"/>
      <c r="J18" s="307"/>
      <c r="K18" s="307"/>
      <c r="L18" s="307"/>
      <c r="M18" s="307"/>
      <c r="N18" s="307"/>
      <c r="O18" s="307"/>
      <c r="P18" s="252"/>
      <c r="Q18" s="49"/>
      <c r="R18" s="49"/>
      <c r="S18" s="49"/>
      <c r="T18" s="307" t="s">
        <v>407</v>
      </c>
      <c r="U18" s="307"/>
      <c r="V18" s="307"/>
      <c r="W18" s="307"/>
      <c r="X18" s="307"/>
      <c r="Y18" s="307"/>
      <c r="Z18" s="307"/>
      <c r="AA18" s="307"/>
      <c r="AB18" s="307"/>
      <c r="AC18" s="306"/>
    </row>
    <row r="19" spans="2:29" ht="14.7" customHeight="1">
      <c r="B19" s="46"/>
      <c r="C19" s="42"/>
      <c r="D19" s="222"/>
      <c r="E19" s="49"/>
      <c r="F19" s="49"/>
      <c r="G19" s="49"/>
      <c r="H19" s="49"/>
      <c r="I19" s="49"/>
      <c r="J19" s="49"/>
      <c r="K19" s="49"/>
      <c r="L19" s="49"/>
      <c r="M19" s="49"/>
      <c r="N19" s="49"/>
      <c r="O19" s="49"/>
      <c r="P19" s="252"/>
      <c r="Q19" s="49"/>
      <c r="R19" s="49"/>
      <c r="S19" s="49"/>
      <c r="T19" s="138" t="s">
        <v>408</v>
      </c>
      <c r="U19" s="138"/>
      <c r="V19" s="138"/>
      <c r="W19" s="138"/>
      <c r="X19" s="138"/>
      <c r="Y19" s="138"/>
      <c r="Z19" s="138"/>
      <c r="AA19" s="49"/>
      <c r="AB19" s="49"/>
      <c r="AC19" s="306"/>
    </row>
    <row r="20" spans="2:29" ht="16.2" customHeight="1">
      <c r="B20" s="46"/>
      <c r="C20" s="42"/>
      <c r="D20" s="222"/>
      <c r="E20" s="66"/>
      <c r="F20" s="138" t="s">
        <v>409</v>
      </c>
      <c r="G20" s="138"/>
      <c r="H20" s="138"/>
      <c r="I20" s="138"/>
      <c r="J20" s="138"/>
      <c r="K20" s="140" t="s">
        <v>240</v>
      </c>
      <c r="L20" s="140"/>
      <c r="M20" s="140"/>
      <c r="N20" s="66"/>
      <c r="O20" s="140" t="s">
        <v>241</v>
      </c>
      <c r="P20" s="252"/>
      <c r="Q20" s="49"/>
      <c r="R20" s="49"/>
      <c r="S20" s="49"/>
      <c r="T20" s="221"/>
      <c r="U20" s="221"/>
      <c r="V20" s="221"/>
      <c r="W20" s="221"/>
      <c r="X20" s="221"/>
      <c r="Y20" s="221"/>
      <c r="Z20" s="221"/>
      <c r="AA20" s="138"/>
      <c r="AB20" s="138"/>
      <c r="AC20" s="306"/>
    </row>
    <row r="21" spans="2:29" ht="13.5" customHeight="1">
      <c r="B21" s="46"/>
      <c r="C21" s="42"/>
      <c r="D21" s="222"/>
      <c r="E21" s="49"/>
      <c r="F21" s="49"/>
      <c r="G21" s="49"/>
      <c r="H21" s="49"/>
      <c r="I21" s="49"/>
      <c r="J21" s="49"/>
      <c r="K21" s="140" t="s">
        <v>410</v>
      </c>
      <c r="L21" s="140"/>
      <c r="M21" s="140" t="s">
        <v>411</v>
      </c>
      <c r="N21" s="49"/>
      <c r="O21" s="49"/>
      <c r="P21" s="252"/>
      <c r="Q21" s="49"/>
      <c r="R21" s="49"/>
      <c r="S21" s="49"/>
      <c r="T21" s="138" t="s">
        <v>308</v>
      </c>
      <c r="U21" s="138"/>
      <c r="V21" s="138"/>
      <c r="W21" s="138"/>
      <c r="X21" s="138"/>
      <c r="Y21" s="233" t="s">
        <v>309</v>
      </c>
      <c r="Z21" s="49"/>
      <c r="AA21" s="49"/>
      <c r="AB21" s="49"/>
      <c r="AC21" s="306"/>
    </row>
    <row r="22" spans="2:29" ht="41.1" customHeight="1">
      <c r="B22" s="46"/>
      <c r="C22" s="42"/>
      <c r="D22" s="222"/>
      <c r="E22" s="49"/>
      <c r="F22" s="142" t="s">
        <v>412</v>
      </c>
      <c r="G22" s="142"/>
      <c r="H22" s="142"/>
      <c r="I22" s="142"/>
      <c r="J22" s="142"/>
      <c r="K22" s="267" t="e">
        <f>'Stage 2'!K46/'Stage 2'!K41</f>
        <v>#DIV/0!</v>
      </c>
      <c r="L22" s="263"/>
      <c r="M22" s="267" t="e">
        <f>'Stage 2'!K48/'Stage 2'!K41</f>
        <v>#DIV/0!</v>
      </c>
      <c r="N22" s="233" t="s">
        <v>269</v>
      </c>
      <c r="O22" s="241" t="s">
        <v>413</v>
      </c>
      <c r="P22" s="252"/>
      <c r="Q22" s="49"/>
      <c r="R22" s="48"/>
      <c r="S22" s="48"/>
      <c r="T22" s="138" t="s">
        <v>310</v>
      </c>
      <c r="U22" s="138"/>
      <c r="V22" s="138"/>
      <c r="W22" s="138"/>
      <c r="X22" s="138"/>
      <c r="Y22" s="251" t="s">
        <v>311</v>
      </c>
      <c r="Z22" s="49"/>
      <c r="AA22" s="138"/>
      <c r="AB22" s="138"/>
      <c r="AC22" s="306"/>
    </row>
    <row r="23" spans="2:29" ht="16.2" customHeight="1">
      <c r="B23" s="46"/>
      <c r="C23" s="42"/>
      <c r="D23" s="222"/>
      <c r="E23" s="49"/>
      <c r="F23" s="142"/>
      <c r="G23" s="142"/>
      <c r="H23" s="142"/>
      <c r="I23" s="142"/>
      <c r="J23" s="142"/>
      <c r="K23" s="263"/>
      <c r="L23" s="263"/>
      <c r="M23" s="263"/>
      <c r="N23" s="234"/>
      <c r="O23" s="241"/>
      <c r="P23" s="252"/>
      <c r="Q23" s="49"/>
      <c r="R23" s="48"/>
      <c r="S23" s="48"/>
      <c r="T23" s="138" t="s">
        <v>312</v>
      </c>
      <c r="U23" s="138"/>
      <c r="V23" s="138"/>
      <c r="W23" s="138"/>
      <c r="X23" s="138"/>
      <c r="Y23" s="233" t="s">
        <v>313</v>
      </c>
      <c r="Z23" s="138"/>
      <c r="AA23" s="138"/>
      <c r="AB23" s="138"/>
      <c r="AC23" s="306"/>
    </row>
    <row r="24" spans="2:29" ht="16.2" customHeight="1">
      <c r="B24" s="46"/>
      <c r="C24" s="42"/>
      <c r="D24" s="222"/>
      <c r="E24" s="49"/>
      <c r="F24" s="142"/>
      <c r="G24" s="142"/>
      <c r="H24" s="142"/>
      <c r="I24" s="142"/>
      <c r="J24" s="142"/>
      <c r="K24" s="263"/>
      <c r="L24" s="263"/>
      <c r="M24" s="263"/>
      <c r="N24" s="234"/>
      <c r="O24" s="241"/>
      <c r="P24" s="252"/>
      <c r="Q24" s="49"/>
      <c r="R24" s="48"/>
      <c r="S24" s="48"/>
      <c r="T24" s="138" t="s">
        <v>315</v>
      </c>
      <c r="U24" s="138"/>
      <c r="V24" s="138"/>
      <c r="W24" s="138"/>
      <c r="X24" s="138"/>
      <c r="Y24" s="233" t="s">
        <v>267</v>
      </c>
      <c r="Z24" s="138"/>
      <c r="AA24" s="138"/>
      <c r="AB24" s="138"/>
      <c r="AC24" s="306"/>
    </row>
    <row r="25" spans="2:29" ht="20.1" customHeight="1">
      <c r="B25" s="46"/>
      <c r="C25" s="42"/>
      <c r="D25" s="222"/>
      <c r="E25" s="49"/>
      <c r="F25" s="38"/>
      <c r="G25" s="49"/>
      <c r="H25" s="49"/>
      <c r="I25" s="49"/>
      <c r="J25" s="49"/>
      <c r="K25" s="263"/>
      <c r="L25" s="263"/>
      <c r="M25" s="263"/>
      <c r="N25" s="140"/>
      <c r="O25" s="241"/>
      <c r="P25" s="252"/>
      <c r="Q25" s="49"/>
      <c r="R25" s="443"/>
      <c r="S25" s="443"/>
      <c r="T25" s="443"/>
      <c r="U25" s="443"/>
      <c r="V25" s="443"/>
      <c r="W25" s="443"/>
      <c r="X25" s="443"/>
      <c r="Y25" s="443"/>
      <c r="Z25" s="443"/>
      <c r="AA25" s="443"/>
      <c r="AB25" s="443"/>
      <c r="AC25" s="444"/>
    </row>
    <row r="26" spans="2:42" ht="24" customHeight="1">
      <c r="B26" s="46"/>
      <c r="C26" s="42"/>
      <c r="D26" s="222"/>
      <c r="E26" s="49"/>
      <c r="F26" s="142" t="s">
        <v>414</v>
      </c>
      <c r="G26" s="142"/>
      <c r="H26" s="142"/>
      <c r="I26" s="142"/>
      <c r="J26" s="142"/>
      <c r="K26" s="140" t="s">
        <v>410</v>
      </c>
      <c r="L26" s="140"/>
      <c r="M26" s="140" t="s">
        <v>411</v>
      </c>
      <c r="N26" s="49"/>
      <c r="O26" s="241"/>
      <c r="P26" s="252"/>
      <c r="Q26" s="49"/>
      <c r="R26" s="49"/>
      <c r="S26" s="49"/>
      <c r="T26" s="142" t="s">
        <v>415</v>
      </c>
      <c r="U26" s="142"/>
      <c r="V26" s="142"/>
      <c r="W26" s="142"/>
      <c r="X26" s="142"/>
      <c r="Y26" s="49"/>
      <c r="Z26" s="49"/>
      <c r="AA26" s="275" t="s">
        <v>321</v>
      </c>
      <c r="AB26" s="275" t="s">
        <v>322</v>
      </c>
      <c r="AC26" s="306"/>
      <c r="AP26" s="111"/>
    </row>
    <row r="27" spans="2:43" ht="16.2" customHeight="1">
      <c r="B27" s="46"/>
      <c r="C27" s="42"/>
      <c r="D27" s="222"/>
      <c r="E27" s="140" t="str">
        <f>'Stage 2'!F22</f>
        <v>High density residential</v>
      </c>
      <c r="F27" s="140"/>
      <c r="G27" s="140"/>
      <c r="H27" s="140"/>
      <c r="I27" s="140"/>
      <c r="J27" s="49"/>
      <c r="K27" s="308" t="str">
        <f>IF('Stage 2'!$K22&gt;0,'Stage 2'!O22/'Stage 2'!$K22,"")</f>
        <v/>
      </c>
      <c r="L27" s="263"/>
      <c r="M27" s="267" t="str">
        <f>IF('Stage 2'!$K22&gt;0,'Stage 2'!Q22/'Stage 2'!$K22,"")</f>
        <v/>
      </c>
      <c r="N27" s="233" t="s">
        <v>269</v>
      </c>
      <c r="O27" s="235" t="s">
        <v>413</v>
      </c>
      <c r="P27" s="252"/>
      <c r="Q27" s="49"/>
      <c r="R27" s="49"/>
      <c r="S27" s="49"/>
      <c r="T27" s="140" t="str">
        <f>E27</f>
        <v>High density residential</v>
      </c>
      <c r="U27" s="140"/>
      <c r="V27" s="140"/>
      <c r="W27" s="140"/>
      <c r="X27" s="140"/>
      <c r="Y27" s="233" t="s">
        <v>269</v>
      </c>
      <c r="Z27" s="49"/>
      <c r="AA27" s="277"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277"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06"/>
      <c r="AO27" s="111"/>
      <c r="AQ27" s="111"/>
    </row>
    <row r="28" spans="2:29" ht="16.2" customHeight="1">
      <c r="B28" s="46"/>
      <c r="C28" s="42"/>
      <c r="D28" s="222"/>
      <c r="E28" s="140" t="str">
        <f>'Stage 2'!F23</f>
        <v>Medium density residential</v>
      </c>
      <c r="F28" s="140"/>
      <c r="G28" s="140"/>
      <c r="H28" s="140"/>
      <c r="I28" s="140"/>
      <c r="J28" s="49"/>
      <c r="K28" s="308" t="str">
        <f>IF('Stage 2'!$K23&gt;0,'Stage 2'!O23/'Stage 2'!$K23,"")</f>
        <v/>
      </c>
      <c r="L28" s="263"/>
      <c r="M28" s="267" t="str">
        <f>IF('Stage 2'!$K23&gt;0,'Stage 2'!Q23/'Stage 2'!$K23,"")</f>
        <v/>
      </c>
      <c r="N28" s="233" t="s">
        <v>269</v>
      </c>
      <c r="O28" s="235" t="s">
        <v>413</v>
      </c>
      <c r="P28" s="252"/>
      <c r="Q28" s="49"/>
      <c r="R28" s="49"/>
      <c r="S28" s="49"/>
      <c r="T28" s="140" t="str">
        <f>E28</f>
        <v>Medium density residential</v>
      </c>
      <c r="U28" s="140"/>
      <c r="V28" s="140"/>
      <c r="W28" s="140"/>
      <c r="X28" s="140"/>
      <c r="Y28" s="233" t="s">
        <v>269</v>
      </c>
      <c r="Z28" s="49"/>
      <c r="AA28" s="277"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277"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06"/>
    </row>
    <row r="29" spans="2:29" ht="16.2" customHeight="1">
      <c r="B29" s="46"/>
      <c r="C29" s="42"/>
      <c r="D29" s="222"/>
      <c r="E29" s="140" t="str">
        <f>'Stage 2'!F24</f>
        <v>Low density residential</v>
      </c>
      <c r="F29" s="140"/>
      <c r="G29" s="140"/>
      <c r="H29" s="140"/>
      <c r="I29" s="140"/>
      <c r="J29" s="49"/>
      <c r="K29" s="308" t="str">
        <f>IF('Stage 2'!$K24&gt;0,'Stage 2'!O24/'Stage 2'!$K24,"")</f>
        <v/>
      </c>
      <c r="L29" s="263"/>
      <c r="M29" s="267" t="str">
        <f>IF('Stage 2'!$K24&gt;0,'Stage 2'!Q24/'Stage 2'!$K24,"")</f>
        <v/>
      </c>
      <c r="N29" s="233" t="s">
        <v>269</v>
      </c>
      <c r="O29" s="235" t="s">
        <v>413</v>
      </c>
      <c r="P29" s="252"/>
      <c r="Q29" s="49"/>
      <c r="R29" s="49"/>
      <c r="S29" s="49"/>
      <c r="T29" s="140" t="str">
        <f>E29</f>
        <v>Low density residential</v>
      </c>
      <c r="U29" s="140"/>
      <c r="V29" s="140"/>
      <c r="W29" s="140"/>
      <c r="X29" s="140"/>
      <c r="Y29" s="233" t="s">
        <v>269</v>
      </c>
      <c r="Z29" s="49"/>
      <c r="AA29" s="277"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277"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06"/>
    </row>
    <row r="30" spans="2:29" ht="16.2" customHeight="1">
      <c r="B30" s="46"/>
      <c r="C30" s="42"/>
      <c r="D30" s="222"/>
      <c r="E30" s="140" t="str">
        <f>'Stage 2'!F25</f>
        <v>Commercial / Industrial</v>
      </c>
      <c r="F30" s="140"/>
      <c r="G30" s="140"/>
      <c r="H30" s="140"/>
      <c r="I30" s="140"/>
      <c r="J30" s="49"/>
      <c r="K30" s="308" t="str">
        <f>IF('Stage 2'!$K25&gt;0,'Stage 2'!O25/'Stage 2'!$K25,"")</f>
        <v/>
      </c>
      <c r="L30" s="263"/>
      <c r="M30" s="267" t="str">
        <f>IF('Stage 2'!$K25&gt;0,'Stage 2'!Q25/'Stage 2'!$K25,"")</f>
        <v/>
      </c>
      <c r="N30" s="233" t="s">
        <v>269</v>
      </c>
      <c r="O30" s="235" t="s">
        <v>413</v>
      </c>
      <c r="P30" s="252"/>
      <c r="Q30" s="49"/>
      <c r="R30" s="49"/>
      <c r="S30" s="49"/>
      <c r="T30" s="140" t="str">
        <f>E30</f>
        <v>Commercial / Industrial</v>
      </c>
      <c r="U30" s="140"/>
      <c r="V30" s="140"/>
      <c r="W30" s="140"/>
      <c r="X30" s="140"/>
      <c r="Y30" s="233" t="s">
        <v>269</v>
      </c>
      <c r="Z30" s="49"/>
      <c r="AA30" s="277"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277"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06"/>
    </row>
    <row r="31" spans="2:29" ht="16.2" customHeight="1">
      <c r="B31" s="46"/>
      <c r="C31" s="42"/>
      <c r="D31" s="222"/>
      <c r="E31" s="140" t="str">
        <f>'Stage 2'!F26</f>
        <v>Urban open space</v>
      </c>
      <c r="F31" s="140"/>
      <c r="G31" s="140"/>
      <c r="H31" s="140"/>
      <c r="I31" s="140"/>
      <c r="J31" s="49"/>
      <c r="K31" s="308" t="str">
        <f>IF('Stage 2'!$K26&gt;0,'Stage 2'!O26/'Stage 2'!$K26,"")</f>
        <v/>
      </c>
      <c r="L31" s="263"/>
      <c r="M31" s="267" t="str">
        <f>IF('Stage 2'!$K26&gt;0,'Stage 2'!Q26/'Stage 2'!$K26,"")</f>
        <v/>
      </c>
      <c r="N31" s="233" t="s">
        <v>269</v>
      </c>
      <c r="O31" s="235" t="s">
        <v>413</v>
      </c>
      <c r="P31" s="252"/>
      <c r="Q31" s="49"/>
      <c r="R31" s="49"/>
      <c r="S31" s="49"/>
      <c r="T31" s="140" t="str">
        <f>E31</f>
        <v>Urban open space</v>
      </c>
      <c r="U31" s="140"/>
      <c r="V31" s="140"/>
      <c r="W31" s="140"/>
      <c r="X31" s="140"/>
      <c r="Y31" s="233" t="s">
        <v>269</v>
      </c>
      <c r="Z31" s="49"/>
      <c r="AA31" s="277"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277"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06"/>
    </row>
    <row r="32" spans="2:53" ht="16.2" customHeight="1">
      <c r="B32" s="46"/>
      <c r="C32" s="42"/>
      <c r="D32" s="222"/>
      <c r="E32" s="140" t="str">
        <f>'Stage 2'!F27</f>
        <v>Dairy</v>
      </c>
      <c r="F32" s="140"/>
      <c r="G32" s="140"/>
      <c r="H32" s="140"/>
      <c r="I32" s="140"/>
      <c r="J32" s="49"/>
      <c r="K32" s="308" t="str">
        <f>IF('Stage 2'!$K27&gt;0,'Stage 2'!O27/'Stage 2'!$K27,"")</f>
        <v/>
      </c>
      <c r="L32" s="275"/>
      <c r="M32" s="267" t="str">
        <f>IF('Stage 2'!$K27&gt;0,'Stage 2'!Q27/'Stage 2'!$K27,"")</f>
        <v/>
      </c>
      <c r="N32" s="233" t="s">
        <v>269</v>
      </c>
      <c r="O32" s="235" t="s">
        <v>413</v>
      </c>
      <c r="P32" s="252"/>
      <c r="Q32" s="49"/>
      <c r="R32" s="49"/>
      <c r="S32" s="49"/>
      <c r="T32" s="140" t="str">
        <f>E32</f>
        <v>Dairy</v>
      </c>
      <c r="U32" s="140"/>
      <c r="V32" s="140"/>
      <c r="W32" s="140"/>
      <c r="X32" s="140"/>
      <c r="Y32" s="233" t="s">
        <v>269</v>
      </c>
      <c r="Z32" s="49"/>
      <c r="AA32" s="279"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279" t="str">
        <f>IF($Y$16="Yes",IF($Y32="Yes",IF($Y$21="Wensum",(IF($Y$22="Freely draining",IF($Y$23="550-575",IF($Y$24="Yes",'Data Tables'!AS5,'Data Tables'!AT5),IF($Y$23="575-600",IF($Y$24="Yes",'Data Tables'!AS5,'Data Tables'!AT5),IF($Y$23="600-625",IF($Y$24="Yes",'Data Tables'!AS5,'Data Tables'!AT5),IF($Y$23="625-650",IF($Y$24="Yes",'Data Tables'!AS5,'Data Tables'!AT5),IF($Y$23="650-675",IF($Y$24="Yes",'Data Tables'!AS5,'Data Tables'!AT5),IF($Y$23="675-700",IF($Y$24="Yes",'Data Tables'!AS5,'Data Tables'!AT5),IF($Y$23="700-750",IF($Y$24="Yes",'Data Tables'!AY5,'Data Tables'!AZ5),IF($Y$23="750-800",IF($Y$24="Yes",'Data Tables'!AY5,'Data Tables'!AZ5),IF($Y$23="800-850",IF($Y$24="Yes",'Data Tables'!AY5,'Data Tables'!AZ5),IF($Y$24="Yes",'Data Tables'!AY5,'Data Tables'!AZ5)))))))))),IF($Y$22="Impermeable - drained for arable",IF($Y$23="550-575",IF($Y$24="Yes",'Data Tables'!AU5,'Data Tables'!AV5),IF($Y$23="575-600",IF($Y$24="Yes",'Data Tables'!AU5,'Data Tables'!AV5),IF($Y$23="600-625",IF($Y$24="Yes",'Data Tables'!AU5,'Data Tables'!AV5),IF($Y$23="625-650",IF($Y$24="Yes",'Data Tables'!AU5,'Data Tables'!AV5),IF($Y$23="650-675",IF($Y$24="Yes",'Data Tables'!AU5,'Data Tables'!AV5),IF($Y$23="675-700",IF($Y$24="Yes",'Data Tables'!AU5,'Data Tables'!AV5),IF($Y$23="700-750",IF($Y$24="Yes",'Data Tables'!BA5,'Data Tables'!BB5),IF($Y$23="750-800",IF($Y$24="Yes",'Data Tables'!BA5,'Data Tables'!BB5),IF($Y$23="800-850",IF($Y$24="Yes",'Data Tables'!BA5,'Data Tables'!BB5),IF($Y$24="Yes",'Data Tables'!BA5,'Data Tables'!BB5)))))))))),IF($Y$23="550-575",IF($Y$24="Yes",'Data Tables'!AW5,'Data Tables'!AX5),IF($Y$23="575-600",IF($Y$24="Yes",'Data Tables'!AW5,'Data Tables'!AX5),IF($Y$23="600-625",IF($Y$24="Yes",'Data Tables'!AW5,'Data Tables'!AX5),IF($Y$23="625-650",IF($Y$24="Yes",'Data Tables'!AW5,'Data Tables'!AX5),IF($Y$23="650-675",IF($Y$24="Yes",'Data Tables'!AW5,'Data Tables'!AX5),IF($Y$23="675-700",IF($Y$24="Yes",'Data Tables'!AW5,'Data Tables'!AX5),IF($Y$23="700-750",IF($Y$24="Yes",'Data Tables'!BC5,'Data Tables'!BD5),IF($Y$23="750-800",IF($Y$24="Yes",'Data Tables'!BC5,'Data Tables'!BD5),IF($Y$23="800-850",IF($Y$24="Yes",'Data Tables'!BC5,'Data Tables'!BD5),IF($Y$24="Yes",'Data Tables'!BC5,'Data Tables'!BD5))))))))))))),IF($Y$21="Yare",(IF($Y$22="Freely draining",IF($Y$23="550-575",IF($Y$24="Yes",'Data Tables'!AS16,'Data Tables'!AT16),IF($Y$23="575-600",IF($Y$24="Yes",'Data Tables'!AS16,'Data Tables'!AT16),IF($Y$23="600-625",IF($Y$24="Yes",'Data Tables'!AS16,'Data Tables'!AT16),IF($Y$23="625-650",IF($Y$24="Yes",'Data Tables'!AS16,'Data Tables'!AT16),IF($Y$23="650-675",IF($Y$24="Yes",'Data Tables'!AS16,'Data Tables'!AT16),IF($Y$23="675-700",IF($Y$24="Yes",'Data Tables'!AS16,'Data Tables'!AT16),IF($Y$23="700-750",IF($Y$24="Yes",'Data Tables'!AY16,'Data Tables'!AZ16),IF($Y$23="750-800",IF($Y$24="Yes",'Data Tables'!AY16,'Data Tables'!AZ16),IF($Y$23="800-850",IF($Y$24="Yes",'Data Tables'!AY16,'Data Tables'!AZ16),IF($Y$24="Yes",'Data Tables'!AY16,'Data Tables'!AZ16)))))))))),IF($Y$22="Impermeable - drained for arable",IF($Y$23="550-575",IF($Y$24="Yes",'Data Tables'!AU16,'Data Tables'!AV16),IF($Y$23="575-600",IF($Y$24="Yes",'Data Tables'!AU16,'Data Tables'!AV16),IF($Y$23="600-625",IF($Y$24="Yes",'Data Tables'!AU16,'Data Tables'!AV16),IF($Y$23="625-650",IF($Y$24="Yes",'Data Tables'!AU16,'Data Tables'!AV16),IF($Y$23="650-675",IF($Y$24="Yes",'Data Tables'!AU16,'Data Tables'!AV16),IF($Y$23="675-700",IF($Y$24="Yes",'Data Tables'!AU16,'Data Tables'!AV16),IF($Y$23="700-750",IF($Y$24="Yes",'Data Tables'!BA16,'Data Tables'!BB16),IF($Y$23="750-800",IF($Y$24="Yes",'Data Tables'!BA16,'Data Tables'!BB16),IF($Y$23="800-850",IF($Y$24="Yes",'Data Tables'!BA16,'Data Tables'!BB16),IF($Y$24="Yes",'Data Tables'!BA16,'Data Tables'!BB16)))))))))),IF($Y$23="550-575",IF($Y$24="Yes",'Data Tables'!AW16,'Data Tables'!AX16),IF($Y$23="575-600",IF($Y$24="Yes",'Data Tables'!AW16,'Data Tables'!AX16),IF($Y$23="600-625",IF($Y$24="Yes",'Data Tables'!AW16,'Data Tables'!AX16),IF($Y$23="625-650",IF($Y$24="Yes",'Data Tables'!AW16,'Data Tables'!AX16),IF($Y$23="650-675",IF($Y$24="Yes",'Data Tables'!AW16,'Data Tables'!AX16),IF($Y$23="675-700",IF($Y$24="Yes",'Data Tables'!AW16,'Data Tables'!AX16),IF($Y$23="700-750",IF($Y$24="Yes",'Data Tables'!BC16,'Data Tables'!BD16),IF($Y$23="750-800",IF($Y$24="Yes",'Data Tables'!BC16,'Data Tables'!BD16),IF($Y$23="800-850",IF($Y$24="Yes",'Data Tables'!BC16,'Data Tables'!BD16),IF($Y$24="Yes",'Data Tables'!BC16,'Data Tables'!BD16))))))))))))),(IF($Y$22="Freely draining",IF($Y$23="550-575",IF($Y$24="Yes",'Data Tables'!AM27,'Data Tables'!AN27),IF($Y$23="575-600",IF($Y$24="Yes",'Data Tables'!AM27,'Data Tables'!AN27),IF($Y$23="600-625",IF($Y$24="Yes",'Data Tables'!AS27,'Data Tables'!AT27),IF($Y$23="625-650",IF($Y$24="Yes",'Data Tables'!AS27,'Data Tables'!AT27),IF($Y$23="650-675",IF($Y$24="Yes",'Data Tables'!AS27,'Data Tables'!AT27),IF($Y$23="675-700",IF($Y$24="Yes",'Data Tables'!AS27,'Data Tables'!AT27),IF($Y$23="700-750",IF($Y$24="Yes",'Data Tables'!AY27,'Data Tables'!AZ27),IF($Y$23="750-800",IF($Y$24="Yes",'Data Tables'!AY27,'Data Tables'!AZ27),IF($Y$23="800-850",IF($Y$24="Yes",'Data Tables'!AY27,'Data Tables'!AZ27),IF($Y$24="Yes",'Data Tables'!AY27,'Data Tables'!AZ27)))))))))),IF($Y$22="Impermeable - drained for arable",IF($Y$23="550-575",IF($Y$24="Yes",'Data Tables'!AO27,'Data Tables'!AP27),IF($Y$23="575-600",IF($Y$24="Yes",'Data Tables'!AO27,'Data Tables'!AP27),IF($Y$23="600-625",IF($Y$24="Yes",'Data Tables'!AU27,'Data Tables'!AV27),IF($Y$23="625-650",IF($Y$24="Yes",'Data Tables'!AU27,'Data Tables'!AV27),IF($Y$23="650-675",IF($Y$24="Yes",'Data Tables'!AU27,'Data Tables'!AV27),IF($Y$23="675-700",IF($Y$24="Yes",'Data Tables'!AU27,'Data Tables'!AV27),IF($Y$23="700-750",IF($Y$24="Yes",'Data Tables'!BA27,'Data Tables'!BB27),IF($Y$23="750-800",IF($Y$24="Yes",'Data Tables'!BA27,'Data Tables'!BB27),IF($Y$23="800-850",IF($Y$24="Yes",'Data Tables'!BA27,'Data Tables'!BB27),IF($Y$24="Yes",'Data Tables'!BA27,'Data Tables'!BB27)))))))))),IF($Y$23="550-575",IF($Y$24="Yes",'Data Tables'!AQ27,'Data Tables'!AR27),IF($Y$23="575-600",IF($Y$24="Yes",'Data Tables'!AQ27,'Data Tables'!AR27),IF($Y$23="600-625",IF($Y$24="Yes",'Data Tables'!AW27,'Data Tables'!AX27),IF($Y$23="625-650",IF($Y$24="Yes",'Data Tables'!AW27,'Data Tables'!AX27),IF($Y$23="650-675",IF($Y$24="Yes",'Data Tables'!AW27,'Data Tables'!AX27),IF($Y$23="675-700",IF($Y$24="Yes",'Data Tables'!AW27,'Data Tables'!AX27),IF($Y$23="700-750",IF($Y$24="Yes",'Data Tables'!BC27,'Data Tables'!BD27),IF($Y$23="750-800",IF($Y$24="Yes",'Data Tables'!BC27,'Data Tables'!BD27),IF($Y$23="800-850",IF($Y$24="Yes",'Data Tables'!BC27,'Data Tables'!BD27),IF($Y$24="Yes",'Data Tables'!BC27,'Data Tables'!BD27))))))))))))))),0),"")</f>
        <v/>
      </c>
      <c r="AC32" s="306"/>
      <c r="AF32" s="92"/>
      <c r="AG32" s="92"/>
      <c r="AH32" s="92"/>
      <c r="AI32" s="92"/>
      <c r="AJ32" s="92"/>
      <c r="AK32" s="92"/>
      <c r="AL32" s="92"/>
      <c r="AM32" s="92"/>
      <c r="AN32" s="92"/>
      <c r="AO32" s="92"/>
      <c r="AP32" s="92"/>
      <c r="AQ32" s="92"/>
      <c r="AR32" s="92"/>
      <c r="AT32" s="92"/>
      <c r="AU32" s="92"/>
      <c r="AV32" s="92"/>
      <c r="AW32" s="92"/>
      <c r="AX32" s="92"/>
      <c r="AY32" s="92"/>
      <c r="AZ32" s="92"/>
      <c r="BA32" s="92"/>
    </row>
    <row r="33" spans="2:53" ht="16.2" customHeight="1">
      <c r="B33" s="46"/>
      <c r="C33" s="42"/>
      <c r="D33" s="222"/>
      <c r="E33" s="140" t="str">
        <f>'Stage 2'!F28</f>
        <v>Lowland grazing</v>
      </c>
      <c r="F33" s="140"/>
      <c r="G33" s="140"/>
      <c r="H33" s="140"/>
      <c r="I33" s="140"/>
      <c r="J33" s="49"/>
      <c r="K33" s="308" t="str">
        <f>IF('Stage 2'!$K28&gt;0,'Stage 2'!O28/'Stage 2'!$K28,"")</f>
        <v/>
      </c>
      <c r="L33" s="225"/>
      <c r="M33" s="267" t="str">
        <f>IF('Stage 2'!$K28&gt;0,'Stage 2'!Q28/'Stage 2'!$K28,"")</f>
        <v/>
      </c>
      <c r="N33" s="233" t="s">
        <v>269</v>
      </c>
      <c r="O33" s="235" t="s">
        <v>413</v>
      </c>
      <c r="P33" s="252"/>
      <c r="Q33" s="49"/>
      <c r="R33" s="49"/>
      <c r="S33" s="49"/>
      <c r="T33" s="140" t="str">
        <f>E33</f>
        <v>Lowland grazing</v>
      </c>
      <c r="U33" s="140"/>
      <c r="V33" s="140"/>
      <c r="W33" s="140"/>
      <c r="X33" s="140"/>
      <c r="Y33" s="233" t="s">
        <v>269</v>
      </c>
      <c r="Z33" s="49"/>
      <c r="AA33" s="279"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279" t="str">
        <f>IF($Y$16="Yes",IF($Y33="Yes",IF($Y$21="Wensum",(IF($Y$22="Freely draining",IF($Y$23="550-575",IF($Y$24="Yes",'Data Tables'!AS6,'Data Tables'!AT6),IF($Y$23="575-600",IF($Y$24="Yes",'Data Tables'!AS6,'Data Tables'!AT6),IF($Y$23="600-625",IF($Y$24="Yes",'Data Tables'!AS6,'Data Tables'!AT6),IF($Y$23="625-650",IF($Y$24="Yes",'Data Tables'!AS6,'Data Tables'!AT6),IF($Y$23="650-675",IF($Y$24="Yes",'Data Tables'!AS6,'Data Tables'!AT6),IF($Y$23="675-700",IF($Y$24="Yes",'Data Tables'!AS6,'Data Tables'!AT6),IF($Y$23="700-750",IF($Y$24="Yes",'Data Tables'!AY6,'Data Tables'!AZ6),IF($Y$23="750-800",IF($Y$24="Yes",'Data Tables'!AY6,'Data Tables'!AZ6),IF($Y$23="800-850",IF($Y$24="Yes",'Data Tables'!AY6,'Data Tables'!AZ6),IF($Y$24="Yes",'Data Tables'!AY6,'Data Tables'!AZ6)))))))))),IF($Y$22="Impermeable - drained for arable",IF($Y$23="550-575",IF($Y$24="Yes",'Data Tables'!AU6,'Data Tables'!AV6),IF($Y$23="575-600",IF($Y$24="Yes",'Data Tables'!AU6,'Data Tables'!AV6),IF($Y$23="600-625",IF($Y$24="Yes",'Data Tables'!AU6,'Data Tables'!AV6),IF($Y$23="625-650",IF($Y$24="Yes",'Data Tables'!AU6,'Data Tables'!AV6),IF($Y$23="650-675",IF($Y$24="Yes",'Data Tables'!AU6,'Data Tables'!AV6),IF($Y$23="675-700",IF($Y$24="Yes",'Data Tables'!AU6,'Data Tables'!AV6),IF($Y$23="700-750",IF($Y$24="Yes",'Data Tables'!BA6,'Data Tables'!BB6),IF($Y$23="750-800",IF($Y$24="Yes",'Data Tables'!BA6,'Data Tables'!BB6),IF($Y$23="800-850",IF($Y$24="Yes",'Data Tables'!BA6,'Data Tables'!BB6),IF($Y$24="Yes",'Data Tables'!BA6,'Data Tables'!BB6)))))))))),IF($Y$23="550-575",IF($Y$24="Yes",'Data Tables'!AW6,'Data Tables'!AX6),IF($Y$23="575-600",IF($Y$24="Yes",'Data Tables'!AW6,'Data Tables'!AX6),IF($Y$23="600-625",IF($Y$24="Yes",'Data Tables'!AW6,'Data Tables'!AX6),IF($Y$23="625-650",IF($Y$24="Yes",'Data Tables'!AW6,'Data Tables'!AX6),IF($Y$23="650-675",IF($Y$24="Yes",'Data Tables'!AW6,'Data Tables'!AX6),IF($Y$23="675-700",IF($Y$24="Yes",'Data Tables'!AW6,'Data Tables'!AX6),IF($Y$23="700-750",IF($Y$24="Yes",'Data Tables'!BC6,'Data Tables'!BD6),IF($Y$23="750-800",IF($Y$24="Yes",'Data Tables'!BC6,'Data Tables'!BD6),IF($Y$23="800-850",IF($Y$24="Yes",'Data Tables'!BC6,'Data Tables'!BD6),IF($Y$24="Yes",'Data Tables'!BC6,'Data Tables'!BD6))))))))))))),IF($Y$21="Yare",(IF($Y$22="Freely draining",IF($Y$23="550-575",IF($Y$24="Yes",'Data Tables'!AS17,'Data Tables'!AT17),IF($Y$23="575-600",IF($Y$24="Yes",'Data Tables'!AS17,'Data Tables'!AT17),IF($Y$23="600-625",IF($Y$24="Yes",'Data Tables'!AS17,'Data Tables'!AT17),IF($Y$23="625-650",IF($Y$24="Yes",'Data Tables'!AS17,'Data Tables'!AT17),IF($Y$23="650-675",IF($Y$24="Yes",'Data Tables'!AS17,'Data Tables'!AT17),IF($Y$23="675-700",IF($Y$24="Yes",'Data Tables'!AS17,'Data Tables'!AT17),IF($Y$23="700-750",IF($Y$24="Yes",'Data Tables'!AY17,'Data Tables'!AZ17),IF($Y$23="750-800",IF($Y$24="Yes",'Data Tables'!AY17,'Data Tables'!AZ17),IF($Y$23="800-850",IF($Y$24="Yes",'Data Tables'!AY17,'Data Tables'!AZ17),IF($Y$24="Yes",'Data Tables'!AY17,'Data Tables'!AZ17)))))))))),IF($Y$22="Impermeable - drained for arable",IF($Y$23="550-575",IF($Y$24="Yes",'Data Tables'!AU17,'Data Tables'!AV17),IF($Y$23="575-600",IF($Y$24="Yes",'Data Tables'!AU17,'Data Tables'!AV17),IF($Y$23="600-625",IF($Y$24="Yes",'Data Tables'!AU17,'Data Tables'!AV17),IF($Y$23="625-650",IF($Y$24="Yes",'Data Tables'!AU17,'Data Tables'!AV17),IF($Y$23="650-675",IF($Y$24="Yes",'Data Tables'!AU17,'Data Tables'!AV17),IF($Y$23="675-700",IF($Y$24="Yes",'Data Tables'!AU17,'Data Tables'!AV17),IF($Y$23="700-750",IF($Y$24="Yes",'Data Tables'!BA17,'Data Tables'!BB17),IF($Y$23="750-800",IF($Y$24="Yes",'Data Tables'!BA17,'Data Tables'!BB17),IF($Y$23="800-850",IF($Y$24="Yes",'Data Tables'!BA17,'Data Tables'!BB17),IF($Y$24="Yes",'Data Tables'!BA17,'Data Tables'!BB17)))))))))),IF($Y$23="550-575",IF($Y$24="Yes",'Data Tables'!AW17,'Data Tables'!AX17),IF($Y$23="575-600",IF($Y$24="Yes",'Data Tables'!AW17,'Data Tables'!AX17),IF($Y$23="600-625",IF($Y$24="Yes",'Data Tables'!AW17,'Data Tables'!AX17),IF($Y$23="625-650",IF($Y$24="Yes",'Data Tables'!AW17,'Data Tables'!AX17),IF($Y$23="650-675",IF($Y$24="Yes",'Data Tables'!AW17,'Data Tables'!AX17),IF($Y$23="675-700",IF($Y$24="Yes",'Data Tables'!AW17,'Data Tables'!AX17),IF($Y$23="700-750",IF($Y$24="Yes",'Data Tables'!BC17,'Data Tables'!BD17),IF($Y$23="750-800",IF($Y$24="Yes",'Data Tables'!BC17,'Data Tables'!BD17),IF($Y$23="800-850",IF($Y$24="Yes",'Data Tables'!BC17,'Data Tables'!BD17),IF($Y$24="Yes",'Data Tables'!BC17,'Data Tables'!BD17))))))))))))),(IF($Y$22="Freely draining",IF($Y$23="550-575",IF($Y$24="Yes",'Data Tables'!AM28,'Data Tables'!AN28),IF($Y$23="575-600",IF($Y$24="Yes",'Data Tables'!AM28,'Data Tables'!AN28),IF($Y$23="600-625",IF($Y$24="Yes",'Data Tables'!AS28,'Data Tables'!AT28),IF($Y$23="625-650",IF($Y$24="Yes",'Data Tables'!AS28,'Data Tables'!AT28),IF($Y$23="650-675",IF($Y$24="Yes",'Data Tables'!AS28,'Data Tables'!AT28),IF($Y$23="675-700",IF($Y$24="Yes",'Data Tables'!AS28,'Data Tables'!AT28),IF($Y$23="700-750",IF($Y$24="Yes",'Data Tables'!AY28,'Data Tables'!AZ28),IF($Y$23="750-800",IF($Y$24="Yes",'Data Tables'!AY28,'Data Tables'!AZ28),IF($Y$23="800-850",IF($Y$24="Yes",'Data Tables'!AY28,'Data Tables'!AZ28),IF($Y$24="Yes",'Data Tables'!AY28,'Data Tables'!AZ28)))))))))),IF($Y$22="Impermeable - drained for arable",IF($Y$23="550-575",IF($Y$24="Yes",'Data Tables'!AO28,'Data Tables'!AP28),IF($Y$23="575-600",IF($Y$24="Yes",'Data Tables'!AO28,'Data Tables'!AP28),IF($Y$23="600-625",IF($Y$24="Yes",'Data Tables'!AU28,'Data Tables'!AV28),IF($Y$23="625-650",IF($Y$24="Yes",'Data Tables'!AU28,'Data Tables'!AV28),IF($Y$23="650-675",IF($Y$24="Yes",'Data Tables'!AU28,'Data Tables'!AV28),IF($Y$23="675-700",IF($Y$24="Yes",'Data Tables'!AU28,'Data Tables'!AV28),IF($Y$23="700-750",IF($Y$24="Yes",'Data Tables'!BA28,'Data Tables'!BB28),IF($Y$23="750-800",IF($Y$24="Yes",'Data Tables'!BA28,'Data Tables'!BB28),IF($Y$23="800-850",IF($Y$24="Yes",'Data Tables'!BA28,'Data Tables'!BB28),IF($Y$24="Yes",'Data Tables'!BA28,'Data Tables'!BB28)))))))))),IF($Y$23="550-575",IF($Y$24="Yes",'Data Tables'!AQ28,'Data Tables'!AR28),IF($Y$23="575-600",IF($Y$24="Yes",'Data Tables'!AQ28,'Data Tables'!AR28),IF($Y$23="600-625",IF($Y$24="Yes",'Data Tables'!AW28,'Data Tables'!AX28),IF($Y$23="625-650",IF($Y$24="Yes",'Data Tables'!AW28,'Data Tables'!AX28),IF($Y$23="650-675",IF($Y$24="Yes",'Data Tables'!AW28,'Data Tables'!AX28),IF($Y$23="675-700",IF($Y$24="Yes",'Data Tables'!AW28,'Data Tables'!AX28),IF($Y$23="700-750",IF($Y$24="Yes",'Data Tables'!BC28,'Data Tables'!BD28),IF($Y$23="750-800",IF($Y$24="Yes",'Data Tables'!BC28,'Data Tables'!BD28),IF($Y$23="800-850",IF($Y$24="Yes",'Data Tables'!BC28,'Data Tables'!BD28),IF($Y$24="Yes",'Data Tables'!BC28,'Data Tables'!BD28))))))))))))))),0),"")</f>
        <v/>
      </c>
      <c r="AC33" s="306"/>
      <c r="AF33" s="92"/>
      <c r="AG33" s="92"/>
      <c r="AH33" s="92"/>
      <c r="AI33" s="92"/>
      <c r="AJ33" s="92"/>
      <c r="AK33" s="92"/>
      <c r="AL33" s="92"/>
      <c r="AM33" s="92"/>
      <c r="AN33" s="92"/>
      <c r="AO33" s="92"/>
      <c r="AP33" s="92"/>
      <c r="AQ33" s="92"/>
      <c r="AR33" s="92"/>
      <c r="AT33" s="92"/>
      <c r="AU33" s="92"/>
      <c r="AV33" s="92"/>
      <c r="AW33" s="92"/>
      <c r="AX33" s="92"/>
      <c r="AY33" s="92"/>
      <c r="AZ33" s="92"/>
      <c r="BA33" s="92"/>
    </row>
    <row r="34" spans="2:53" ht="16.2" customHeight="1">
      <c r="B34" s="46"/>
      <c r="C34" s="42"/>
      <c r="D34" s="222"/>
      <c r="E34" s="140" t="str">
        <f>'Stage 2'!F29</f>
        <v>Mixed</v>
      </c>
      <c r="F34" s="140"/>
      <c r="G34" s="140"/>
      <c r="H34" s="140"/>
      <c r="I34" s="140"/>
      <c r="J34" s="49"/>
      <c r="K34" s="308" t="str">
        <f>IF('Stage 2'!$K29&gt;0,'Stage 2'!O29/'Stage 2'!$K29,"")</f>
        <v/>
      </c>
      <c r="L34" s="225"/>
      <c r="M34" s="267" t="str">
        <f>IF('Stage 2'!$K29&gt;0,'Stage 2'!Q29/'Stage 2'!$K29,"")</f>
        <v/>
      </c>
      <c r="N34" s="233" t="s">
        <v>269</v>
      </c>
      <c r="O34" s="235" t="s">
        <v>413</v>
      </c>
      <c r="P34" s="252"/>
      <c r="Q34" s="49"/>
      <c r="R34" s="49"/>
      <c r="S34" s="49"/>
      <c r="T34" s="140" t="str">
        <f>E34</f>
        <v>Mixed</v>
      </c>
      <c r="U34" s="140"/>
      <c r="V34" s="140"/>
      <c r="W34" s="140"/>
      <c r="X34" s="140"/>
      <c r="Y34" s="233" t="s">
        <v>269</v>
      </c>
      <c r="Z34" s="49"/>
      <c r="AA34" s="279"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279" t="str">
        <f>IF($Y$16="Yes",IF($Y34="Yes",IF($Y$21="Wensum",(IF($Y$22="Freely draining",IF($Y$23="550-575",IF($Y$24="Yes",'Data Tables'!AS7,'Data Tables'!AT7),IF($Y$23="575-600",IF($Y$24="Yes",'Data Tables'!AS7,'Data Tables'!AT7),IF($Y$23="600-625",IF($Y$24="Yes",'Data Tables'!AS7,'Data Tables'!AT7),IF($Y$23="625-650",IF($Y$24="Yes",'Data Tables'!AS7,'Data Tables'!AT7),IF($Y$23="650-675",IF($Y$24="Yes",'Data Tables'!AS7,'Data Tables'!AT7),IF($Y$23="675-700",IF($Y$24="Yes",'Data Tables'!AS7,'Data Tables'!AT7),IF($Y$23="700-750",IF($Y$24="Yes",'Data Tables'!AY7,'Data Tables'!AZ7),IF($Y$23="750-800",IF($Y$24="Yes",'Data Tables'!AY7,'Data Tables'!AZ7),IF($Y$23="800-850",IF($Y$24="Yes",'Data Tables'!AY7,'Data Tables'!AZ7),IF($Y$24="Yes",'Data Tables'!AY7,'Data Tables'!AZ7)))))))))),IF($Y$22="Impermeable - drained for arable",IF($Y$23="550-575",IF($Y$24="Yes",'Data Tables'!AU7,'Data Tables'!AV7),IF($Y$23="575-600",IF($Y$24="Yes",'Data Tables'!AU7,'Data Tables'!AV7),IF($Y$23="600-625",IF($Y$24="Yes",'Data Tables'!AU7,'Data Tables'!AV7),IF($Y$23="625-650",IF($Y$24="Yes",'Data Tables'!AU7,'Data Tables'!AV7),IF($Y$23="650-675",IF($Y$24="Yes",'Data Tables'!AU7,'Data Tables'!AV7),IF($Y$23="675-700",IF($Y$24="Yes",'Data Tables'!AU7,'Data Tables'!AV7),IF($Y$23="700-750",IF($Y$24="Yes",'Data Tables'!BA7,'Data Tables'!BB7),IF($Y$23="750-800",IF($Y$24="Yes",'Data Tables'!BA7,'Data Tables'!BB7),IF($Y$23="800-850",IF($Y$24="Yes",'Data Tables'!BA7,'Data Tables'!BB7),IF($Y$24="Yes",'Data Tables'!BA7,'Data Tables'!BB7)))))))))),IF($Y$23="550-575",IF($Y$24="Yes",'Data Tables'!AW7,'Data Tables'!AX7),IF($Y$23="575-600",IF($Y$24="Yes",'Data Tables'!AW7,'Data Tables'!AX7),IF($Y$23="600-625",IF($Y$24="Yes",'Data Tables'!AW7,'Data Tables'!AX7),IF($Y$23="625-650",IF($Y$24="Yes",'Data Tables'!AW7,'Data Tables'!AX7),IF($Y$23="650-675",IF($Y$24="Yes",'Data Tables'!AW7,'Data Tables'!AX7),IF($Y$23="675-700",IF($Y$24="Yes",'Data Tables'!AW7,'Data Tables'!AX7),IF($Y$23="700-750",IF($Y$24="Yes",'Data Tables'!BC7,'Data Tables'!BD7),IF($Y$23="750-800",IF($Y$24="Yes",'Data Tables'!BC7,'Data Tables'!BD7),IF($Y$23="800-850",IF($Y$24="Yes",'Data Tables'!BC7,'Data Tables'!BD7),IF($Y$24="Yes",'Data Tables'!BC7,'Data Tables'!BD7))))))))))))),IF($Y$21="Yare",(IF($Y$22="Freely draining",IF($Y$23="550-575",IF($Y$24="Yes",'Data Tables'!AS18,'Data Tables'!AT18),IF($Y$23="575-600",IF($Y$24="Yes",'Data Tables'!AS18,'Data Tables'!AT18),IF($Y$23="600-625",IF($Y$24="Yes",'Data Tables'!AS18,'Data Tables'!AT18),IF($Y$23="625-650",IF($Y$24="Yes",'Data Tables'!AS18,'Data Tables'!AT18),IF($Y$23="650-675",IF($Y$24="Yes",'Data Tables'!AS18,'Data Tables'!AT18),IF($Y$23="675-700",IF($Y$24="Yes",'Data Tables'!AS18,'Data Tables'!AT18),IF($Y$23="700-750",IF($Y$24="Yes",'Data Tables'!AY18,'Data Tables'!AZ18),IF($Y$23="750-800",IF($Y$24="Yes",'Data Tables'!AY18,'Data Tables'!AZ18),IF($Y$23="800-850",IF($Y$24="Yes",'Data Tables'!AY18,'Data Tables'!AZ18),IF($Y$24="Yes",'Data Tables'!AY18,'Data Tables'!AZ18)))))))))),IF($Y$22="Impermeable - drained for arable",IF($Y$23="550-575",IF($Y$24="Yes",'Data Tables'!AU18,'Data Tables'!AV18),IF($Y$23="575-600",IF($Y$24="Yes",'Data Tables'!AU18,'Data Tables'!AV18),IF($Y$23="600-625",IF($Y$24="Yes",'Data Tables'!AU18,'Data Tables'!AV18),IF($Y$23="625-650",IF($Y$24="Yes",'Data Tables'!AU18,'Data Tables'!AV18),IF($Y$23="650-675",IF($Y$24="Yes",'Data Tables'!AU18,'Data Tables'!AV18),IF($Y$23="675-700",IF($Y$24="Yes",'Data Tables'!AU18,'Data Tables'!AV18),IF($Y$23="700-750",IF($Y$24="Yes",'Data Tables'!BA18,'Data Tables'!BB18),IF($Y$23="750-800",IF($Y$24="Yes",'Data Tables'!BA18,'Data Tables'!BB18),IF($Y$23="800-850",IF($Y$24="Yes",'Data Tables'!BA18,'Data Tables'!BB18),IF($Y$24="Yes",'Data Tables'!BA18,'Data Tables'!BB18)))))))))),IF($Y$23="550-575",IF($Y$24="Yes",'Data Tables'!AW18,'Data Tables'!AX18),IF($Y$23="575-600",IF($Y$24="Yes",'Data Tables'!AW18,'Data Tables'!AX18),IF($Y$23="600-625",IF($Y$24="Yes",'Data Tables'!AW18,'Data Tables'!AX18),IF($Y$23="625-650",IF($Y$24="Yes",'Data Tables'!AW18,'Data Tables'!AX18),IF($Y$23="650-675",IF($Y$24="Yes",'Data Tables'!AW18,'Data Tables'!AX18),IF($Y$23="675-700",IF($Y$24="Yes",'Data Tables'!AW18,'Data Tables'!AX18),IF($Y$23="700-750",IF($Y$24="Yes",'Data Tables'!BC18,'Data Tables'!BD18),IF($Y$23="750-800",IF($Y$24="Yes",'Data Tables'!BC18,'Data Tables'!BD18),IF($Y$23="800-850",IF($Y$24="Yes",'Data Tables'!BC18,'Data Tables'!BD18),IF($Y$24="Yes",'Data Tables'!BC18,'Data Tables'!BD18))))))))))))),(IF($Y$22="Freely draining",IF($Y$23="550-575",IF($Y$24="Yes",'Data Tables'!AM29,'Data Tables'!AN29),IF($Y$23="575-600",IF($Y$24="Yes",'Data Tables'!AM29,'Data Tables'!AN29),IF($Y$23="600-625",IF($Y$24="Yes",'Data Tables'!AS29,'Data Tables'!AT29),IF($Y$23="625-650",IF($Y$24="Yes",'Data Tables'!AS29,'Data Tables'!AT29),IF($Y$23="650-675",IF($Y$24="Yes",'Data Tables'!AS29,'Data Tables'!AT29),IF($Y$23="675-700",IF($Y$24="Yes",'Data Tables'!AS29,'Data Tables'!AT29),IF($Y$23="700-750",IF($Y$24="Yes",'Data Tables'!AY29,'Data Tables'!AZ29),IF($Y$23="750-800",IF($Y$24="Yes",'Data Tables'!AY29,'Data Tables'!AZ29),IF($Y$23="800-850",IF($Y$24="Yes",'Data Tables'!AY29,'Data Tables'!AZ29),IF($Y$24="Yes",'Data Tables'!AY29,'Data Tables'!AZ29)))))))))),IF($Y$22="Impermeable - drained for arable",IF($Y$23="550-575",IF($Y$24="Yes",'Data Tables'!AO29,'Data Tables'!AP29),IF($Y$23="575-600",IF($Y$24="Yes",'Data Tables'!AO29,'Data Tables'!AP29),IF($Y$23="600-625",IF($Y$24="Yes",'Data Tables'!AU29,'Data Tables'!AV29),IF($Y$23="625-650",IF($Y$24="Yes",'Data Tables'!AU29,'Data Tables'!AV29),IF($Y$23="650-675",IF($Y$24="Yes",'Data Tables'!AU29,'Data Tables'!AV29),IF($Y$23="675-700",IF($Y$24="Yes",'Data Tables'!AU29,'Data Tables'!AV29),IF($Y$23="700-750",IF($Y$24="Yes",'Data Tables'!BA29,'Data Tables'!BB29),IF($Y$23="750-800",IF($Y$24="Yes",'Data Tables'!BA29,'Data Tables'!BB29),IF($Y$23="800-850",IF($Y$24="Yes",'Data Tables'!BA29,'Data Tables'!BB29),IF($Y$24="Yes",'Data Tables'!BA29,'Data Tables'!BB29)))))))))),IF($Y$23="550-575",IF($Y$24="Yes",'Data Tables'!AQ29,'Data Tables'!AR29),IF($Y$23="575-600",IF($Y$24="Yes",'Data Tables'!AQ29,'Data Tables'!AR29),IF($Y$23="600-625",IF($Y$24="Yes",'Data Tables'!AW29,'Data Tables'!AX29),IF($Y$23="625-650",IF($Y$24="Yes",'Data Tables'!AW29,'Data Tables'!AX29),IF($Y$23="650-675",IF($Y$24="Yes",'Data Tables'!AW29,'Data Tables'!AX29),IF($Y$23="675-700",IF($Y$24="Yes",'Data Tables'!AW29,'Data Tables'!AX29),IF($Y$23="700-750",IF($Y$24="Yes",'Data Tables'!BC29,'Data Tables'!BD29),IF($Y$23="750-800",IF($Y$24="Yes",'Data Tables'!BC29,'Data Tables'!BD29),IF($Y$23="800-850",IF($Y$24="Yes",'Data Tables'!BC29,'Data Tables'!BD29),IF($Y$24="Yes",'Data Tables'!BC29,'Data Tables'!BD29))))))))))))))),0),"")</f>
        <v/>
      </c>
      <c r="AC34" s="306"/>
      <c r="AF34" s="92"/>
      <c r="AG34" s="92"/>
      <c r="AH34" s="92"/>
      <c r="AI34" s="92"/>
      <c r="AJ34" s="92"/>
      <c r="AK34" s="92"/>
      <c r="AL34" s="92"/>
      <c r="AM34" s="92"/>
      <c r="AN34" s="92"/>
      <c r="AO34" s="92"/>
      <c r="AP34" s="92"/>
      <c r="AQ34" s="92"/>
      <c r="AR34" s="92"/>
      <c r="AT34" s="92"/>
      <c r="AU34" s="92"/>
      <c r="AV34" s="92"/>
      <c r="AW34" s="92"/>
      <c r="AX34" s="92"/>
      <c r="AY34" s="92"/>
      <c r="AZ34" s="92"/>
      <c r="BA34" s="92"/>
    </row>
    <row r="35" spans="2:53" ht="16.2" customHeight="1">
      <c r="B35" s="46"/>
      <c r="C35" s="42"/>
      <c r="D35" s="222"/>
      <c r="E35" s="140" t="str">
        <f>'Stage 2'!F30</f>
        <v>Poultry</v>
      </c>
      <c r="F35" s="140"/>
      <c r="G35" s="140"/>
      <c r="H35" s="140"/>
      <c r="I35" s="140"/>
      <c r="J35" s="49"/>
      <c r="K35" s="308" t="str">
        <f>IF('Stage 2'!$K30&gt;0,'Stage 2'!O30/'Stage 2'!$K30,"")</f>
        <v/>
      </c>
      <c r="L35" s="225"/>
      <c r="M35" s="267" t="str">
        <f>IF('Stage 2'!$K30&gt;0,'Stage 2'!Q30/'Stage 2'!$K30,"")</f>
        <v/>
      </c>
      <c r="N35" s="233" t="s">
        <v>269</v>
      </c>
      <c r="O35" s="235" t="s">
        <v>413</v>
      </c>
      <c r="P35" s="252"/>
      <c r="Q35" s="49"/>
      <c r="R35" s="49"/>
      <c r="S35" s="49"/>
      <c r="T35" s="140" t="str">
        <f>E35</f>
        <v>Poultry</v>
      </c>
      <c r="U35" s="140"/>
      <c r="V35" s="140"/>
      <c r="W35" s="140"/>
      <c r="X35" s="140"/>
      <c r="Y35" s="233" t="s">
        <v>269</v>
      </c>
      <c r="Z35" s="49"/>
      <c r="AA35" s="279"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279" t="str">
        <f>IF($Y$16="Yes",IF($Y35="Yes",IF($Y$21="Wensum",(IF($Y$22="Freely draining",IF($Y$23="550-575",IF($Y$24="Yes",'Data Tables'!AS8,'Data Tables'!AT8),IF($Y$23="575-600",IF($Y$24="Yes",'Data Tables'!AS8,'Data Tables'!AT8),IF($Y$23="600-625",IF($Y$24="Yes",'Data Tables'!AS8,'Data Tables'!AT8),IF($Y$23="625-650",IF($Y$24="Yes",'Data Tables'!AS8,'Data Tables'!AT8),IF($Y$23="650-675",IF($Y$24="Yes",'Data Tables'!AS8,'Data Tables'!AT8),IF($Y$23="675-700",IF($Y$24="Yes",'Data Tables'!AS8,'Data Tables'!AT8),IF($Y$23="700-750",IF($Y$24="Yes",'Data Tables'!AY8,'Data Tables'!AZ8),IF($Y$23="750-800",IF($Y$24="Yes",'Data Tables'!AY8,'Data Tables'!AZ8),IF($Y$23="800-850",IF($Y$24="Yes",'Data Tables'!AY8,'Data Tables'!AZ8),IF($Y$24="Yes",'Data Tables'!AY8,'Data Tables'!AZ8)))))))))),IF($Y$22="Impermeable - drained for arable",IF($Y$23="550-575",IF($Y$24="Yes",'Data Tables'!AU8,'Data Tables'!AV8),IF($Y$23="575-600",IF($Y$24="Yes",'Data Tables'!AU8,'Data Tables'!AV8),IF($Y$23="600-625",IF($Y$24="Yes",'Data Tables'!AU8,'Data Tables'!AV8),IF($Y$23="625-650",IF($Y$24="Yes",'Data Tables'!AU8,'Data Tables'!AV8),IF($Y$23="650-675",IF($Y$24="Yes",'Data Tables'!AU8,'Data Tables'!AV8),IF($Y$23="675-700",IF($Y$24="Yes",'Data Tables'!AU8,'Data Tables'!AV8),IF($Y$23="700-750",IF($Y$24="Yes",'Data Tables'!BA8,'Data Tables'!BB8),IF($Y$23="750-800",IF($Y$24="Yes",'Data Tables'!BA8,'Data Tables'!BB8),IF($Y$23="800-850",IF($Y$24="Yes",'Data Tables'!BA8,'Data Tables'!BB8),IF($Y$24="Yes",'Data Tables'!BA8,'Data Tables'!BB8)))))))))),IF($Y$23="550-575",IF($Y$24="Yes",'Data Tables'!AW8,'Data Tables'!AX8),IF($Y$23="575-600",IF($Y$24="Yes",'Data Tables'!AW8,'Data Tables'!AX8),IF($Y$23="600-625",IF($Y$24="Yes",'Data Tables'!AW8,'Data Tables'!AX8),IF($Y$23="625-650",IF($Y$24="Yes",'Data Tables'!AW8,'Data Tables'!AX8),IF($Y$23="650-675",IF($Y$24="Yes",'Data Tables'!AW8,'Data Tables'!AX8),IF($Y$23="675-700",IF($Y$24="Yes",'Data Tables'!AW8,'Data Tables'!AX8),IF($Y$23="700-750",IF($Y$24="Yes",'Data Tables'!BC8,'Data Tables'!BD8),IF($Y$23="750-800",IF($Y$24="Yes",'Data Tables'!BC8,'Data Tables'!BD8),IF($Y$23="800-850",IF($Y$24="Yes",'Data Tables'!BC8,'Data Tables'!BD8),IF($Y$24="Yes",'Data Tables'!BC8,'Data Tables'!BD8))))))))))))),IF($Y$21="Yare",(IF($Y$22="Freely draining",IF($Y$23="550-575",IF($Y$24="Yes",'Data Tables'!AS19,'Data Tables'!AT19),IF($Y$23="575-600",IF($Y$24="Yes",'Data Tables'!AS19,'Data Tables'!AT19),IF($Y$23="600-625",IF($Y$24="Yes",'Data Tables'!AS19,'Data Tables'!AT19),IF($Y$23="625-650",IF($Y$24="Yes",'Data Tables'!AS19,'Data Tables'!AT19),IF($Y$23="650-675",IF($Y$24="Yes",'Data Tables'!AS19,'Data Tables'!AT19),IF($Y$23="675-700",IF($Y$24="Yes",'Data Tables'!AS19,'Data Tables'!AT19),IF($Y$23="700-750",IF($Y$24="Yes",'Data Tables'!AY19,'Data Tables'!AZ19),IF($Y$23="750-800",IF($Y$24="Yes",'Data Tables'!AY19,'Data Tables'!AZ19),IF($Y$23="800-850",IF($Y$24="Yes",'Data Tables'!AY19,'Data Tables'!AZ19),IF($Y$24="Yes",'Data Tables'!AY19,'Data Tables'!AZ19)))))))))),IF($Y$22="Impermeable - drained for arable",IF($Y$23="550-575",IF($Y$24="Yes",'Data Tables'!AU19,'Data Tables'!AV19),IF($Y$23="575-600",IF($Y$24="Yes",'Data Tables'!AU19,'Data Tables'!AV19),IF($Y$23="600-625",IF($Y$24="Yes",'Data Tables'!AU19,'Data Tables'!AV19),IF($Y$23="625-650",IF($Y$24="Yes",'Data Tables'!AU19,'Data Tables'!AV19),IF($Y$23="650-675",IF($Y$24="Yes",'Data Tables'!AU19,'Data Tables'!AV19),IF($Y$23="675-700",IF($Y$24="Yes",'Data Tables'!AU19,'Data Tables'!AV19),IF($Y$23="700-750",IF($Y$24="Yes",'Data Tables'!BA19,'Data Tables'!BB19),IF($Y$23="750-800",IF($Y$24="Yes",'Data Tables'!BA19,'Data Tables'!BB19),IF($Y$23="800-850",IF($Y$24="Yes",'Data Tables'!BA19,'Data Tables'!BB19),IF($Y$24="Yes",'Data Tables'!BA19,'Data Tables'!BB19)))))))))),IF($Y$23="550-575",IF($Y$24="Yes",'Data Tables'!AW19,'Data Tables'!AX19),IF($Y$23="575-600",IF($Y$24="Yes",'Data Tables'!AW19,'Data Tables'!AX19),IF($Y$23="600-625",IF($Y$24="Yes",'Data Tables'!AW19,'Data Tables'!AX19),IF($Y$23="625-650",IF($Y$24="Yes",'Data Tables'!AW19,'Data Tables'!AX19),IF($Y$23="650-675",IF($Y$24="Yes",'Data Tables'!AW19,'Data Tables'!AX19),IF($Y$23="675-700",IF($Y$24="Yes",'Data Tables'!AW19,'Data Tables'!AX19),IF($Y$23="700-750",IF($Y$24="Yes",'Data Tables'!BC19,'Data Tables'!BD19),IF($Y$23="750-800",IF($Y$24="Yes",'Data Tables'!BC19,'Data Tables'!BD19),IF($Y$23="800-850",IF($Y$24="Yes",'Data Tables'!BC19,'Data Tables'!BD19),IF($Y$24="Yes",'Data Tables'!BC19,'Data Tables'!BD19))))))))))))),(IF($Y$22="Freely draining",IF($Y$23="550-575",IF($Y$24="Yes",'Data Tables'!AM30,'Data Tables'!AN30),IF($Y$23="575-600",IF($Y$24="Yes",'Data Tables'!AM30,'Data Tables'!AN30),IF($Y$23="600-625",IF($Y$24="Yes",'Data Tables'!AS30,'Data Tables'!AT30),IF($Y$23="625-650",IF($Y$24="Yes",'Data Tables'!AS30,'Data Tables'!AT30),IF($Y$23="650-675",IF($Y$24="Yes",'Data Tables'!AS30,'Data Tables'!AT30),IF($Y$23="675-700",IF($Y$24="Yes",'Data Tables'!AS30,'Data Tables'!AT30),IF($Y$23="700-750",IF($Y$24="Yes",'Data Tables'!AY30,'Data Tables'!AZ30),IF($Y$23="750-800",IF($Y$24="Yes",'Data Tables'!AY30,'Data Tables'!AZ30),IF($Y$23="800-850",IF($Y$24="Yes",'Data Tables'!AY30,'Data Tables'!AZ30),IF($Y$24="Yes",'Data Tables'!AY30,'Data Tables'!AZ30)))))))))),IF($Y$22="Impermeable - drained for arable",IF($Y$23="550-575",IF($Y$24="Yes",'Data Tables'!AO30,'Data Tables'!AP30),IF($Y$23="575-600",IF($Y$24="Yes",'Data Tables'!AO30,'Data Tables'!AP30),IF($Y$23="600-625",IF($Y$24="Yes",'Data Tables'!AU30,'Data Tables'!AV30),IF($Y$23="625-650",IF($Y$24="Yes",'Data Tables'!AU30,'Data Tables'!AV30),IF($Y$23="650-675",IF($Y$24="Yes",'Data Tables'!AU30,'Data Tables'!AV30),IF($Y$23="675-700",IF($Y$24="Yes",'Data Tables'!AU30,'Data Tables'!AV30),IF($Y$23="700-750",IF($Y$24="Yes",'Data Tables'!BA30,'Data Tables'!BB30),IF($Y$23="750-800",IF($Y$24="Yes",'Data Tables'!BA30,'Data Tables'!BB30),IF($Y$23="800-850",IF($Y$24="Yes",'Data Tables'!BA30,'Data Tables'!BB30),IF($Y$24="Yes",'Data Tables'!BA30,'Data Tables'!BB30)))))))))),IF($Y$23="550-575",IF($Y$24="Yes",'Data Tables'!AQ30,'Data Tables'!AR30),IF($Y$23="575-600",IF($Y$24="Yes",'Data Tables'!AQ30,'Data Tables'!AR30),IF($Y$23="600-625",IF($Y$24="Yes",'Data Tables'!AW30,'Data Tables'!AX30),IF($Y$23="625-650",IF($Y$24="Yes",'Data Tables'!AW30,'Data Tables'!AX30),IF($Y$23="650-675",IF($Y$24="Yes",'Data Tables'!AW30,'Data Tables'!AX30),IF($Y$23="675-700",IF($Y$24="Yes",'Data Tables'!AW30,'Data Tables'!AX30),IF($Y$23="700-750",IF($Y$24="Yes",'Data Tables'!BC30,'Data Tables'!BD30),IF($Y$23="750-800",IF($Y$24="Yes",'Data Tables'!BC30,'Data Tables'!BD30),IF($Y$23="800-850",IF($Y$24="Yes",'Data Tables'!BC30,'Data Tables'!BD30),IF($Y$24="Yes",'Data Tables'!BC30,'Data Tables'!BD30))))))))))))))),0),"")</f>
        <v/>
      </c>
      <c r="AC35" s="306"/>
      <c r="AF35" s="92"/>
      <c r="AG35" s="92"/>
      <c r="AH35" s="92"/>
      <c r="AI35" s="92"/>
      <c r="AJ35" s="92"/>
      <c r="AK35" s="92"/>
      <c r="AL35" s="92"/>
      <c r="AM35" s="92"/>
      <c r="AN35" s="92"/>
      <c r="AO35" s="92"/>
      <c r="AP35" s="92"/>
      <c r="AQ35" s="92"/>
      <c r="AR35" s="92"/>
      <c r="AT35" s="92"/>
      <c r="AU35" s="92"/>
      <c r="AV35" s="92"/>
      <c r="AW35" s="92"/>
      <c r="AX35" s="92"/>
      <c r="AY35" s="92"/>
      <c r="AZ35" s="92"/>
      <c r="BA35" s="92"/>
    </row>
    <row r="36" spans="2:53" ht="16.2" customHeight="1">
      <c r="B36" s="46"/>
      <c r="C36" s="42"/>
      <c r="D36" s="222"/>
      <c r="E36" s="140" t="str">
        <f>'Stage 2'!F31</f>
        <v>Pigs</v>
      </c>
      <c r="F36" s="140"/>
      <c r="G36" s="140"/>
      <c r="H36" s="140"/>
      <c r="I36" s="140"/>
      <c r="J36" s="49"/>
      <c r="K36" s="308" t="str">
        <f>IF('Stage 2'!$K31&gt;0,'Stage 2'!O31/'Stage 2'!$K31,"")</f>
        <v/>
      </c>
      <c r="L36" s="225"/>
      <c r="M36" s="267" t="str">
        <f>IF('Stage 2'!$K31&gt;0,'Stage 2'!Q31/'Stage 2'!$K31,"")</f>
        <v/>
      </c>
      <c r="N36" s="233" t="s">
        <v>269</v>
      </c>
      <c r="O36" s="235" t="s">
        <v>413</v>
      </c>
      <c r="P36" s="252"/>
      <c r="Q36" s="49"/>
      <c r="R36" s="49"/>
      <c r="S36" s="49"/>
      <c r="T36" s="140" t="str">
        <f>E36</f>
        <v>Pigs</v>
      </c>
      <c r="U36" s="140"/>
      <c r="V36" s="140"/>
      <c r="W36" s="140"/>
      <c r="X36" s="140"/>
      <c r="Y36" s="233" t="s">
        <v>269</v>
      </c>
      <c r="Z36" s="49"/>
      <c r="AA36" s="279"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279" t="str">
        <f>IF($Y$16="Yes",IF($Y36="Yes",IF($Y$21="Wensum",(IF($Y$22="Freely draining",IF($Y$23="550-575",IF($Y$24="Yes",'Data Tables'!AS9,'Data Tables'!AT9),IF($Y$23="575-600",IF($Y$24="Yes",'Data Tables'!AS9,'Data Tables'!AT9),IF($Y$23="600-625",IF($Y$24="Yes",'Data Tables'!AS9,'Data Tables'!AT9),IF($Y$23="625-650",IF($Y$24="Yes",'Data Tables'!AS9,'Data Tables'!AT9),IF($Y$23="650-675",IF($Y$24="Yes",'Data Tables'!AS9,'Data Tables'!AT9),IF($Y$23="675-700",IF($Y$24="Yes",'Data Tables'!AS9,'Data Tables'!AT9),IF($Y$23="700-750",IF($Y$24="Yes",'Data Tables'!AY9,'Data Tables'!AZ9),IF($Y$23="750-800",IF($Y$24="Yes",'Data Tables'!AY9,'Data Tables'!AZ9),IF($Y$23="800-850",IF($Y$24="Yes",'Data Tables'!AY9,'Data Tables'!AZ9),IF($Y$24="Yes",'Data Tables'!AY9,'Data Tables'!AZ9)))))))))),IF($Y$22="Impermeable - drained for arable",IF($Y$23="550-575",IF($Y$24="Yes",'Data Tables'!AU9,'Data Tables'!AV9),IF($Y$23="575-600",IF($Y$24="Yes",'Data Tables'!AU9,'Data Tables'!AV9),IF($Y$23="600-625",IF($Y$24="Yes",'Data Tables'!AU9,'Data Tables'!AV9),IF($Y$23="625-650",IF($Y$24="Yes",'Data Tables'!AU9,'Data Tables'!AV9),IF($Y$23="650-675",IF($Y$24="Yes",'Data Tables'!AU9,'Data Tables'!AV9),IF($Y$23="675-700",IF($Y$24="Yes",'Data Tables'!AU9,'Data Tables'!AV9),IF($Y$23="700-750",IF($Y$24="Yes",'Data Tables'!BA9,'Data Tables'!BB9),IF($Y$23="750-800",IF($Y$24="Yes",'Data Tables'!BA9,'Data Tables'!BB9),IF($Y$23="800-850",IF($Y$24="Yes",'Data Tables'!BA9,'Data Tables'!BB9),IF($Y$24="Yes",'Data Tables'!BA9,'Data Tables'!BB9)))))))))),IF($Y$23="550-575",IF($Y$24="Yes",'Data Tables'!AW9,'Data Tables'!AX9),IF($Y$23="575-600",IF($Y$24="Yes",'Data Tables'!AW9,'Data Tables'!AX9),IF($Y$23="600-625",IF($Y$24="Yes",'Data Tables'!AW9,'Data Tables'!AX9),IF($Y$23="625-650",IF($Y$24="Yes",'Data Tables'!AW9,'Data Tables'!AX9),IF($Y$23="650-675",IF($Y$24="Yes",'Data Tables'!AW9,'Data Tables'!AX9),IF($Y$23="675-700",IF($Y$24="Yes",'Data Tables'!AW9,'Data Tables'!AX9),IF($Y$23="700-750",IF($Y$24="Yes",'Data Tables'!BC9,'Data Tables'!BD9),IF($Y$23="750-800",IF($Y$24="Yes",'Data Tables'!BC9,'Data Tables'!BD9),IF($Y$23="800-850",IF($Y$24="Yes",'Data Tables'!BC9,'Data Tables'!BD9),IF($Y$24="Yes",'Data Tables'!BC9,'Data Tables'!BD9))))))))))))),IF($Y$21="Yare",(IF($Y$22="Freely draining",IF($Y$23="550-575",IF($Y$24="Yes",'Data Tables'!AS20,'Data Tables'!AT20),IF($Y$23="575-600",IF($Y$24="Yes",'Data Tables'!AS20,'Data Tables'!AT20),IF($Y$23="600-625",IF($Y$24="Yes",'Data Tables'!AS20,'Data Tables'!AT20),IF($Y$23="625-650",IF($Y$24="Yes",'Data Tables'!AS20,'Data Tables'!AT20),IF($Y$23="650-675",IF($Y$24="Yes",'Data Tables'!AS20,'Data Tables'!AT20),IF($Y$23="675-700",IF($Y$24="Yes",'Data Tables'!AS20,'Data Tables'!AT20),IF($Y$23="700-750",IF($Y$24="Yes",'Data Tables'!AY20,'Data Tables'!AZ20),IF($Y$23="750-800",IF($Y$24="Yes",'Data Tables'!AY20,'Data Tables'!AZ20),IF($Y$23="800-850",IF($Y$24="Yes",'Data Tables'!AY20,'Data Tables'!AZ20),IF($Y$24="Yes",'Data Tables'!AY20,'Data Tables'!AZ20)))))))))),IF($Y$22="Impermeable - drained for arable",IF($Y$23="550-575",IF($Y$24="Yes",'Data Tables'!AU20,'Data Tables'!AV20),IF($Y$23="575-600",IF($Y$24="Yes",'Data Tables'!AU20,'Data Tables'!AV20),IF($Y$23="600-625",IF($Y$24="Yes",'Data Tables'!AU20,'Data Tables'!AV20),IF($Y$23="625-650",IF($Y$24="Yes",'Data Tables'!AU20,'Data Tables'!AV20),IF($Y$23="650-675",IF($Y$24="Yes",'Data Tables'!AU20,'Data Tables'!AV20),IF($Y$23="675-700",IF($Y$24="Yes",'Data Tables'!AU20,'Data Tables'!AV20),IF($Y$23="700-750",IF($Y$24="Yes",'Data Tables'!BA20,'Data Tables'!BB20),IF($Y$23="750-800",IF($Y$24="Yes",'Data Tables'!BA20,'Data Tables'!BB20),IF($Y$23="800-850",IF($Y$24="Yes",'Data Tables'!BA20,'Data Tables'!BB20),IF($Y$24="Yes",'Data Tables'!BA20,'Data Tables'!BB20)))))))))),IF($Y$23="550-575",IF($Y$24="Yes",'Data Tables'!AW20,'Data Tables'!AX20),IF($Y$23="575-600",IF($Y$24="Yes",'Data Tables'!AW20,'Data Tables'!AX20),IF($Y$23="600-625",IF($Y$24="Yes",'Data Tables'!AW20,'Data Tables'!AX20),IF($Y$23="625-650",IF($Y$24="Yes",'Data Tables'!AW20,'Data Tables'!AX20),IF($Y$23="650-675",IF($Y$24="Yes",'Data Tables'!AW20,'Data Tables'!AX20),IF($Y$23="675-700",IF($Y$24="Yes",'Data Tables'!AW20,'Data Tables'!AX20),IF($Y$23="700-750",IF($Y$24="Yes",'Data Tables'!BC20,'Data Tables'!BD20),IF($Y$23="750-800",IF($Y$24="Yes",'Data Tables'!BC20,'Data Tables'!BD20),IF($Y$23="800-850",IF($Y$24="Yes",'Data Tables'!BC20,'Data Tables'!BD20),IF($Y$24="Yes",'Data Tables'!BC20,'Data Tables'!BD20))))))))))))),(IF($Y$22="Freely draining",IF($Y$23="550-575",IF($Y$24="Yes",'Data Tables'!AM31,'Data Tables'!AN31),IF($Y$23="575-600",IF($Y$24="Yes",'Data Tables'!AM31,'Data Tables'!AN31),IF($Y$23="600-625",IF($Y$24="Yes",'Data Tables'!AS31,'Data Tables'!AT31),IF($Y$23="625-650",IF($Y$24="Yes",'Data Tables'!AS31,'Data Tables'!AT31),IF($Y$23="650-675",IF($Y$24="Yes",'Data Tables'!AS31,'Data Tables'!AT31),IF($Y$23="675-700",IF($Y$24="Yes",'Data Tables'!AS31,'Data Tables'!AT31),IF($Y$23="700-750",IF($Y$24="Yes",'Data Tables'!AY31,'Data Tables'!AZ31),IF($Y$23="750-800",IF($Y$24="Yes",'Data Tables'!AY31,'Data Tables'!AZ31),IF($Y$23="800-850",IF($Y$24="Yes",'Data Tables'!AY31,'Data Tables'!AZ31),IF($Y$24="Yes",'Data Tables'!AY31,'Data Tables'!AZ31)))))))))),IF($Y$22="Impermeable - drained for arable",IF($Y$23="550-575",IF($Y$24="Yes",'Data Tables'!AO31,'Data Tables'!AP31),IF($Y$23="575-600",IF($Y$24="Yes",'Data Tables'!AO31,'Data Tables'!AP31),IF($Y$23="600-625",IF($Y$24="Yes",'Data Tables'!AU31,'Data Tables'!AV31),IF($Y$23="625-650",IF($Y$24="Yes",'Data Tables'!AU31,'Data Tables'!AV31),IF($Y$23="650-675",IF($Y$24="Yes",'Data Tables'!AU31,'Data Tables'!AV31),IF($Y$23="675-700",IF($Y$24="Yes",'Data Tables'!AU31,'Data Tables'!AV31),IF($Y$23="700-750",IF($Y$24="Yes",'Data Tables'!BA31,'Data Tables'!BB31),IF($Y$23="750-800",IF($Y$24="Yes",'Data Tables'!BA31,'Data Tables'!BB31),IF($Y$23="800-850",IF($Y$24="Yes",'Data Tables'!BA31,'Data Tables'!BB31),IF($Y$24="Yes",'Data Tables'!BA31,'Data Tables'!BB31)))))))))),IF($Y$23="550-575",IF($Y$24="Yes",'Data Tables'!AQ31,'Data Tables'!AR31),IF($Y$23="575-600",IF($Y$24="Yes",'Data Tables'!AQ31,'Data Tables'!AR31),IF($Y$23="600-625",IF($Y$24="Yes",'Data Tables'!AW31,'Data Tables'!AX31),IF($Y$23="625-650",IF($Y$24="Yes",'Data Tables'!AW31,'Data Tables'!AX31),IF($Y$23="650-675",IF($Y$24="Yes",'Data Tables'!AW31,'Data Tables'!AX31),IF($Y$23="675-700",IF($Y$24="Yes",'Data Tables'!AW31,'Data Tables'!AX31),IF($Y$23="700-750",IF($Y$24="Yes",'Data Tables'!BC31,'Data Tables'!BD31),IF($Y$23="750-800",IF($Y$24="Yes",'Data Tables'!BC31,'Data Tables'!BD31),IF($Y$23="800-850",IF($Y$24="Yes",'Data Tables'!BC31,'Data Tables'!BD31),IF($Y$24="Yes",'Data Tables'!BC31,'Data Tables'!BD31))))))))))))))),0),"")</f>
        <v/>
      </c>
      <c r="AC36" s="306"/>
      <c r="AF36" s="92"/>
      <c r="AG36" s="92"/>
      <c r="AH36" s="92"/>
      <c r="AI36" s="92"/>
      <c r="AJ36" s="92"/>
      <c r="AK36" s="92"/>
      <c r="AL36" s="92"/>
      <c r="AM36" s="92"/>
      <c r="AN36" s="92"/>
      <c r="AO36" s="92"/>
      <c r="AP36" s="92"/>
      <c r="AQ36" s="92"/>
      <c r="AR36" s="92"/>
      <c r="AT36" s="92"/>
      <c r="AU36" s="92"/>
      <c r="AV36" s="92"/>
      <c r="AW36" s="92"/>
      <c r="AX36" s="92"/>
      <c r="AY36" s="92"/>
      <c r="AZ36" s="92"/>
      <c r="BA36" s="92"/>
    </row>
    <row r="37" spans="2:53" ht="16.2" customHeight="1">
      <c r="B37" s="46"/>
      <c r="C37" s="42"/>
      <c r="D37" s="222"/>
      <c r="E37" s="140" t="str">
        <f>'Stage 2'!F32</f>
        <v>Horticulture</v>
      </c>
      <c r="F37" s="140"/>
      <c r="G37" s="140"/>
      <c r="H37" s="140"/>
      <c r="I37" s="140"/>
      <c r="J37" s="49"/>
      <c r="K37" s="308" t="str">
        <f>IF('Stage 2'!$K32&gt;0,'Stage 2'!O32/'Stage 2'!$K32,"")</f>
        <v/>
      </c>
      <c r="L37" s="225"/>
      <c r="M37" s="267" t="str">
        <f>IF('Stage 2'!$K32&gt;0,'Stage 2'!Q32/'Stage 2'!$K32,"")</f>
        <v/>
      </c>
      <c r="N37" s="233" t="s">
        <v>269</v>
      </c>
      <c r="O37" s="235" t="s">
        <v>413</v>
      </c>
      <c r="P37" s="252"/>
      <c r="Q37" s="49"/>
      <c r="R37" s="49"/>
      <c r="S37" s="49"/>
      <c r="T37" s="140" t="str">
        <f>E37</f>
        <v>Horticulture</v>
      </c>
      <c r="U37" s="140"/>
      <c r="V37" s="140"/>
      <c r="W37" s="140"/>
      <c r="X37" s="140"/>
      <c r="Y37" s="233" t="s">
        <v>269</v>
      </c>
      <c r="Z37" s="49"/>
      <c r="AA37" s="279"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279" t="str">
        <f>IF($Y$16="Yes",IF($Y37="Yes",IF($Y$21="Wensum",(IF($Y$22="Freely draining",IF($Y$23="550-575",IF($Y$24="Yes",'Data Tables'!AS10,'Data Tables'!AT10),IF($Y$23="575-600",IF($Y$24="Yes",'Data Tables'!AS10,'Data Tables'!AT10),IF($Y$23="600-625",IF($Y$24="Yes",'Data Tables'!AS10,'Data Tables'!AT10),IF($Y$23="625-650",IF($Y$24="Yes",'Data Tables'!AS10,'Data Tables'!AT10),IF($Y$23="650-675",IF($Y$24="Yes",'Data Tables'!AS10,'Data Tables'!AT10),IF($Y$23="675-700",IF($Y$24="Yes",'Data Tables'!AS10,'Data Tables'!AT10),IF($Y$23="700-750",IF($Y$24="Yes",'Data Tables'!AY10,'Data Tables'!AZ10),IF($Y$23="750-800",IF($Y$24="Yes",'Data Tables'!AY10,'Data Tables'!AZ10),IF($Y$23="800-850",IF($Y$24="Yes",'Data Tables'!AY10,'Data Tables'!AZ10),IF($Y$24="Yes",'Data Tables'!AY10,'Data Tables'!AZ10)))))))))),IF($Y$22="Impermeable - drained for arable",IF($Y$23="550-575",IF($Y$24="Yes",'Data Tables'!AU10,'Data Tables'!AV10),IF($Y$23="575-600",IF($Y$24="Yes",'Data Tables'!AU10,'Data Tables'!AV10),IF($Y$23="600-625",IF($Y$24="Yes",'Data Tables'!AU10,'Data Tables'!AV10),IF($Y$23="625-650",IF($Y$24="Yes",'Data Tables'!AU10,'Data Tables'!AV10),IF($Y$23="650-675",IF($Y$24="Yes",'Data Tables'!AU10,'Data Tables'!AV10),IF($Y$23="675-700",IF($Y$24="Yes",'Data Tables'!AU10,'Data Tables'!AV10),IF($Y$23="700-750",IF($Y$24="Yes",'Data Tables'!BA10,'Data Tables'!BB10),IF($Y$23="750-800",IF($Y$24="Yes",'Data Tables'!BA10,'Data Tables'!BB10),IF($Y$23="800-850",IF($Y$24="Yes",'Data Tables'!BA10,'Data Tables'!BB10),IF($Y$24="Yes",'Data Tables'!BA10,'Data Tables'!BB10)))))))))),IF($Y$23="550-575",IF($Y$24="Yes",'Data Tables'!AW10,'Data Tables'!AX10),IF($Y$23="575-600",IF($Y$24="Yes",'Data Tables'!AW10,'Data Tables'!AX10),IF($Y$23="600-625",IF($Y$24="Yes",'Data Tables'!AW10,'Data Tables'!AX10),IF($Y$23="625-650",IF($Y$24="Yes",'Data Tables'!AW10,'Data Tables'!AX10),IF($Y$23="650-675",IF($Y$24="Yes",'Data Tables'!AW10,'Data Tables'!AX10),IF($Y$23="675-700",IF($Y$24="Yes",'Data Tables'!AW10,'Data Tables'!AX10),IF($Y$23="700-750",IF($Y$24="Yes",'Data Tables'!BC10,'Data Tables'!BD10),IF($Y$23="750-800",IF($Y$24="Yes",'Data Tables'!BC10,'Data Tables'!BD10),IF($Y$23="800-850",IF($Y$24="Yes",'Data Tables'!BC10,'Data Tables'!BD10),IF($Y$24="Yes",'Data Tables'!BC10,'Data Tables'!BD10))))))))))))),IF($Y$21="Yare",(IF($Y$22="Freely draining",IF($Y$23="550-575",IF($Y$24="Yes",'Data Tables'!AS21,'Data Tables'!AT21),IF($Y$23="575-600",IF($Y$24="Yes",'Data Tables'!AS21,'Data Tables'!AT21),IF($Y$23="600-625",IF($Y$24="Yes",'Data Tables'!AS21,'Data Tables'!AT21),IF($Y$23="625-650",IF($Y$24="Yes",'Data Tables'!AS21,'Data Tables'!AT21),IF($Y$23="650-675",IF($Y$24="Yes",'Data Tables'!AS21,'Data Tables'!AT21),IF($Y$23="675-700",IF($Y$24="Yes",'Data Tables'!AS21,'Data Tables'!AT21),IF($Y$23="700-750",IF($Y$24="Yes",'Data Tables'!AY21,'Data Tables'!AZ21),IF($Y$23="750-800",IF($Y$24="Yes",'Data Tables'!AY21,'Data Tables'!AZ21),IF($Y$23="800-850",IF($Y$24="Yes",'Data Tables'!AY21,'Data Tables'!AZ21),IF($Y$24="Yes",'Data Tables'!AY21,'Data Tables'!AZ21)))))))))),IF($Y$22="Impermeable - drained for arable",IF($Y$23="550-575",IF($Y$24="Yes",'Data Tables'!AU21,'Data Tables'!AV21),IF($Y$23="575-600",IF($Y$24="Yes",'Data Tables'!AU21,'Data Tables'!AV21),IF($Y$23="600-625",IF($Y$24="Yes",'Data Tables'!AU21,'Data Tables'!AV21),IF($Y$23="625-650",IF($Y$24="Yes",'Data Tables'!AU21,'Data Tables'!AV21),IF($Y$23="650-675",IF($Y$24="Yes",'Data Tables'!AU21,'Data Tables'!AV21),IF($Y$23="675-700",IF($Y$24="Yes",'Data Tables'!AU21,'Data Tables'!AV21),IF($Y$23="700-750",IF($Y$24="Yes",'Data Tables'!BA21,'Data Tables'!BB21),IF($Y$23="750-800",IF($Y$24="Yes",'Data Tables'!BA21,'Data Tables'!BB21),IF($Y$23="800-850",IF($Y$24="Yes",'Data Tables'!BA21,'Data Tables'!BB21),IF($Y$24="Yes",'Data Tables'!BA21,'Data Tables'!BB21)))))))))),IF($Y$23="550-575",IF($Y$24="Yes",'Data Tables'!AW21,'Data Tables'!AX21),IF($Y$23="575-600",IF($Y$24="Yes",'Data Tables'!AW21,'Data Tables'!AX21),IF($Y$23="600-625",IF($Y$24="Yes",'Data Tables'!AW21,'Data Tables'!AX21),IF($Y$23="625-650",IF($Y$24="Yes",'Data Tables'!AW21,'Data Tables'!AX21),IF($Y$23="650-675",IF($Y$24="Yes",'Data Tables'!AW21,'Data Tables'!AX21),IF($Y$23="675-700",IF($Y$24="Yes",'Data Tables'!AW21,'Data Tables'!AX21),IF($Y$23="700-750",IF($Y$24="Yes",'Data Tables'!BC21,'Data Tables'!BD21),IF($Y$23="750-800",IF($Y$24="Yes",'Data Tables'!BC21,'Data Tables'!BD21),IF($Y$23="800-850",IF($Y$24="Yes",'Data Tables'!BC21,'Data Tables'!BD21),IF($Y$24="Yes",'Data Tables'!BC21,'Data Tables'!BD21))))))))))))),(IF($Y$22="Freely draining",IF($Y$23="550-575",IF($Y$24="Yes",'Data Tables'!AM32,'Data Tables'!AN32),IF($Y$23="575-600",IF($Y$24="Yes",'Data Tables'!AM32,'Data Tables'!AN32),IF($Y$23="600-625",IF($Y$24="Yes",'Data Tables'!AS32,'Data Tables'!AT32),IF($Y$23="625-650",IF($Y$24="Yes",'Data Tables'!AS32,'Data Tables'!AT32),IF($Y$23="650-675",IF($Y$24="Yes",'Data Tables'!AS32,'Data Tables'!AT32),IF($Y$23="675-700",IF($Y$24="Yes",'Data Tables'!AS32,'Data Tables'!AT32),IF($Y$23="700-750",IF($Y$24="Yes",'Data Tables'!AY32,'Data Tables'!AZ32),IF($Y$23="750-800",IF($Y$24="Yes",'Data Tables'!AY32,'Data Tables'!AZ32),IF($Y$23="800-850",IF($Y$24="Yes",'Data Tables'!AY32,'Data Tables'!AZ32),IF($Y$24="Yes",'Data Tables'!AY32,'Data Tables'!AZ32)))))))))),IF($Y$22="Impermeable - drained for arable",IF($Y$23="550-575",IF($Y$24="Yes",'Data Tables'!AO32,'Data Tables'!AP32),IF($Y$23="575-600",IF($Y$24="Yes",'Data Tables'!AO32,'Data Tables'!AP32),IF($Y$23="600-625",IF($Y$24="Yes",'Data Tables'!AU32,'Data Tables'!AV32),IF($Y$23="625-650",IF($Y$24="Yes",'Data Tables'!AU32,'Data Tables'!AV32),IF($Y$23="650-675",IF($Y$24="Yes",'Data Tables'!AU32,'Data Tables'!AV32),IF($Y$23="675-700",IF($Y$24="Yes",'Data Tables'!AU32,'Data Tables'!AV32),IF($Y$23="700-750",IF($Y$24="Yes",'Data Tables'!BA32,'Data Tables'!BB32),IF($Y$23="750-800",IF($Y$24="Yes",'Data Tables'!BA32,'Data Tables'!BB32),IF($Y$23="800-850",IF($Y$24="Yes",'Data Tables'!BA32,'Data Tables'!BB32),IF($Y$24="Yes",'Data Tables'!BA32,'Data Tables'!BB32)))))))))),IF($Y$23="550-575",IF($Y$24="Yes",'Data Tables'!AQ32,'Data Tables'!AR32),IF($Y$23="575-600",IF($Y$24="Yes",'Data Tables'!AQ32,'Data Tables'!AR32),IF($Y$23="600-625",IF($Y$24="Yes",'Data Tables'!AW32,'Data Tables'!AX32),IF($Y$23="625-650",IF($Y$24="Yes",'Data Tables'!AW32,'Data Tables'!AX32),IF($Y$23="650-675",IF($Y$24="Yes",'Data Tables'!AW32,'Data Tables'!AX32),IF($Y$23="675-700",IF($Y$24="Yes",'Data Tables'!AW32,'Data Tables'!AX32),IF($Y$23="700-750",IF($Y$24="Yes",'Data Tables'!BC32,'Data Tables'!BD32),IF($Y$23="750-800",IF($Y$24="Yes",'Data Tables'!BC32,'Data Tables'!BD32),IF($Y$23="800-850",IF($Y$24="Yes",'Data Tables'!BC32,'Data Tables'!BD32),IF($Y$24="Yes",'Data Tables'!BC32,'Data Tables'!BD32))))))))))))))),0),"")</f>
        <v/>
      </c>
      <c r="AC37" s="306"/>
      <c r="AF37" s="92"/>
      <c r="AG37" s="92"/>
      <c r="AH37" s="92"/>
      <c r="AI37" s="92"/>
      <c r="AJ37" s="92"/>
      <c r="AK37" s="92"/>
      <c r="AL37" s="92"/>
      <c r="AM37" s="92"/>
      <c r="AN37" s="92"/>
      <c r="AO37" s="92"/>
      <c r="AP37" s="92"/>
      <c r="AQ37" s="92"/>
      <c r="AR37" s="92"/>
      <c r="AT37" s="92"/>
      <c r="AU37" s="92"/>
      <c r="AV37" s="92"/>
      <c r="AW37" s="92"/>
      <c r="AX37" s="92"/>
      <c r="AY37" s="92"/>
      <c r="AZ37" s="92"/>
      <c r="BA37" s="92"/>
    </row>
    <row r="38" spans="2:53" ht="16.2" customHeight="1">
      <c r="B38" s="46"/>
      <c r="C38" s="42"/>
      <c r="D38" s="222"/>
      <c r="E38" s="140" t="str">
        <f>'Stage 2'!F33</f>
        <v>Cereals</v>
      </c>
      <c r="F38" s="140"/>
      <c r="G38" s="140"/>
      <c r="H38" s="140"/>
      <c r="I38" s="140"/>
      <c r="J38" s="49"/>
      <c r="K38" s="308" t="str">
        <f>IF('Stage 2'!$K33&gt;0,'Stage 2'!O33/'Stage 2'!$K33,"")</f>
        <v/>
      </c>
      <c r="L38" s="225"/>
      <c r="M38" s="267" t="str">
        <f>IF('Stage 2'!$K33&gt;0,'Stage 2'!Q33/'Stage 2'!$K33,"")</f>
        <v/>
      </c>
      <c r="N38" s="233" t="s">
        <v>269</v>
      </c>
      <c r="O38" s="235" t="s">
        <v>413</v>
      </c>
      <c r="P38" s="252"/>
      <c r="Q38" s="49"/>
      <c r="R38" s="49"/>
      <c r="S38" s="49"/>
      <c r="T38" s="140" t="str">
        <f>E38</f>
        <v>Cereals</v>
      </c>
      <c r="U38" s="140"/>
      <c r="V38" s="140"/>
      <c r="W38" s="140"/>
      <c r="X38" s="140"/>
      <c r="Y38" s="233" t="s">
        <v>269</v>
      </c>
      <c r="Z38" s="49"/>
      <c r="AA38" s="279"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279" t="str">
        <f>IF($Y$16="Yes",IF($Y38="Yes",IF($Y$21="Wensum",(IF($Y$22="Freely draining",IF($Y$23="550-575",IF($Y$24="Yes",'Data Tables'!AS11,'Data Tables'!AT11),IF($Y$23="575-600",IF($Y$24="Yes",'Data Tables'!AS11,'Data Tables'!AT11),IF($Y$23="600-625",IF($Y$24="Yes",'Data Tables'!AS11,'Data Tables'!AT11),IF($Y$23="625-650",IF($Y$24="Yes",'Data Tables'!AS11,'Data Tables'!AT11),IF($Y$23="650-675",IF($Y$24="Yes",'Data Tables'!AS11,'Data Tables'!AT11),IF($Y$23="675-700",IF($Y$24="Yes",'Data Tables'!AS11,'Data Tables'!AT11),IF($Y$23="700-750",IF($Y$24="Yes",'Data Tables'!AY11,'Data Tables'!AZ11),IF($Y$23="750-800",IF($Y$24="Yes",'Data Tables'!AY11,'Data Tables'!AZ11),IF($Y$23="800-850",IF($Y$24="Yes",'Data Tables'!AY11,'Data Tables'!AZ11),IF($Y$24="Yes",'Data Tables'!AY11,'Data Tables'!AZ11)))))))))),IF($Y$22="Impermeable - drained for arable",IF($Y$23="550-575",IF($Y$24="Yes",'Data Tables'!AU11,'Data Tables'!AV11),IF($Y$23="575-600",IF($Y$24="Yes",'Data Tables'!AU11,'Data Tables'!AV11),IF($Y$23="600-625",IF($Y$24="Yes",'Data Tables'!AU11,'Data Tables'!AV11),IF($Y$23="625-650",IF($Y$24="Yes",'Data Tables'!AU11,'Data Tables'!AV11),IF($Y$23="650-675",IF($Y$24="Yes",'Data Tables'!AU11,'Data Tables'!AV11),IF($Y$23="675-700",IF($Y$24="Yes",'Data Tables'!AU11,'Data Tables'!AV11),IF($Y$23="700-750",IF($Y$24="Yes",'Data Tables'!BA11,'Data Tables'!BB11),IF($Y$23="750-800",IF($Y$24="Yes",'Data Tables'!BA11,'Data Tables'!BB11),IF($Y$23="800-850",IF($Y$24="Yes",'Data Tables'!BA11,'Data Tables'!BB11),IF($Y$24="Yes",'Data Tables'!BA11,'Data Tables'!BB11)))))))))),IF($Y$23="550-575",IF($Y$24="Yes",'Data Tables'!AW11,'Data Tables'!AX11),IF($Y$23="575-600",IF($Y$24="Yes",'Data Tables'!AW11,'Data Tables'!AX11),IF($Y$23="600-625",IF($Y$24="Yes",'Data Tables'!AW11,'Data Tables'!AX11),IF($Y$23="625-650",IF($Y$24="Yes",'Data Tables'!AW11,'Data Tables'!AX11),IF($Y$23="650-675",IF($Y$24="Yes",'Data Tables'!AW11,'Data Tables'!AX11),IF($Y$23="675-700",IF($Y$24="Yes",'Data Tables'!AW11,'Data Tables'!AX11),IF($Y$23="700-750",IF($Y$24="Yes",'Data Tables'!BC11,'Data Tables'!BD11),IF($Y$23="750-800",IF($Y$24="Yes",'Data Tables'!BC11,'Data Tables'!BD11),IF($Y$23="800-850",IF($Y$24="Yes",'Data Tables'!BC11,'Data Tables'!BD11),IF($Y$24="Yes",'Data Tables'!BC11,'Data Tables'!BD11))))))))))))),IF($Y$21="Yare",(IF($Y$22="Freely draining",IF($Y$23="550-575",IF($Y$24="Yes",'Data Tables'!AS22,'Data Tables'!AT22),IF($Y$23="575-600",IF($Y$24="Yes",'Data Tables'!AS22,'Data Tables'!AT22),IF($Y$23="600-625",IF($Y$24="Yes",'Data Tables'!AS22,'Data Tables'!AT22),IF($Y$23="625-650",IF($Y$24="Yes",'Data Tables'!AS22,'Data Tables'!AT22),IF($Y$23="650-675",IF($Y$24="Yes",'Data Tables'!AS22,'Data Tables'!AT22),IF($Y$23="675-700",IF($Y$24="Yes",'Data Tables'!AS22,'Data Tables'!AT22),IF($Y$23="700-750",IF($Y$24="Yes",'Data Tables'!AY22,'Data Tables'!AZ22),IF($Y$23="750-800",IF($Y$24="Yes",'Data Tables'!AY22,'Data Tables'!AZ22),IF($Y$23="800-850",IF($Y$24="Yes",'Data Tables'!AY22,'Data Tables'!AZ22),IF($Y$24="Yes",'Data Tables'!AY22,'Data Tables'!AZ22)))))))))),IF($Y$22="Impermeable - drained for arable",IF($Y$23="550-575",IF($Y$24="Yes",'Data Tables'!AU22,'Data Tables'!AV22),IF($Y$23="575-600",IF($Y$24="Yes",'Data Tables'!AU22,'Data Tables'!AV22),IF($Y$23="600-625",IF($Y$24="Yes",'Data Tables'!AU22,'Data Tables'!AV22),IF($Y$23="625-650",IF($Y$24="Yes",'Data Tables'!AU22,'Data Tables'!AV22),IF($Y$23="650-675",IF($Y$24="Yes",'Data Tables'!AU22,'Data Tables'!AV22),IF($Y$23="675-700",IF($Y$24="Yes",'Data Tables'!AU22,'Data Tables'!AV22),IF($Y$23="700-750",IF($Y$24="Yes",'Data Tables'!BA22,'Data Tables'!BB22),IF($Y$23="750-800",IF($Y$24="Yes",'Data Tables'!BA22,'Data Tables'!BB22),IF($Y$23="800-850",IF($Y$24="Yes",'Data Tables'!BA22,'Data Tables'!BB22),IF($Y$24="Yes",'Data Tables'!BA22,'Data Tables'!BB22)))))))))),IF($Y$23="550-575",IF($Y$24="Yes",'Data Tables'!AW22,'Data Tables'!AX22),IF($Y$23="575-600",IF($Y$24="Yes",'Data Tables'!AW22,'Data Tables'!AX22),IF($Y$23="600-625",IF($Y$24="Yes",'Data Tables'!AW22,'Data Tables'!AX22),IF($Y$23="625-650",IF($Y$24="Yes",'Data Tables'!AW22,'Data Tables'!AX22),IF($Y$23="650-675",IF($Y$24="Yes",'Data Tables'!AW22,'Data Tables'!AX22),IF($Y$23="675-700",IF($Y$24="Yes",'Data Tables'!AW22,'Data Tables'!AX22),IF($Y$23="700-750",IF($Y$24="Yes",'Data Tables'!BC22,'Data Tables'!BD22),IF($Y$23="750-800",IF($Y$24="Yes",'Data Tables'!BC22,'Data Tables'!BD22),IF($Y$23="800-850",IF($Y$24="Yes",'Data Tables'!BC22,'Data Tables'!BD22),IF($Y$24="Yes",'Data Tables'!BC22,'Data Tables'!BD22))))))))))))),(IF($Y$22="Freely draining",IF($Y$23="550-575",IF($Y$24="Yes",'Data Tables'!AM33,'Data Tables'!AN33),IF($Y$23="575-600",IF($Y$24="Yes",'Data Tables'!AM33,'Data Tables'!AN33),IF($Y$23="600-625",IF($Y$24="Yes",'Data Tables'!AS33,'Data Tables'!AT33),IF($Y$23="625-650",IF($Y$24="Yes",'Data Tables'!AS33,'Data Tables'!AT33),IF($Y$23="650-675",IF($Y$24="Yes",'Data Tables'!AS33,'Data Tables'!AT33),IF($Y$23="675-700",IF($Y$24="Yes",'Data Tables'!AS33,'Data Tables'!AT33),IF($Y$23="700-750",IF($Y$24="Yes",'Data Tables'!AY33,'Data Tables'!AZ33),IF($Y$23="750-800",IF($Y$24="Yes",'Data Tables'!AY33,'Data Tables'!AZ33),IF($Y$23="800-850",IF($Y$24="Yes",'Data Tables'!AY33,'Data Tables'!AZ33),IF($Y$24="Yes",'Data Tables'!AY33,'Data Tables'!AZ33)))))))))),IF($Y$22="Impermeable - drained for arable",IF($Y$23="550-575",IF($Y$24="Yes",'Data Tables'!AO33,'Data Tables'!AP33),IF($Y$23="575-600",IF($Y$24="Yes",'Data Tables'!AO33,'Data Tables'!AP33),IF($Y$23="600-625",IF($Y$24="Yes",'Data Tables'!AU33,'Data Tables'!AV33),IF($Y$23="625-650",IF($Y$24="Yes",'Data Tables'!AU33,'Data Tables'!AV33),IF($Y$23="650-675",IF($Y$24="Yes",'Data Tables'!AU33,'Data Tables'!AV33),IF($Y$23="675-700",IF($Y$24="Yes",'Data Tables'!AU33,'Data Tables'!AV33),IF($Y$23="700-750",IF($Y$24="Yes",'Data Tables'!BA33,'Data Tables'!BB33),IF($Y$23="750-800",IF($Y$24="Yes",'Data Tables'!BA33,'Data Tables'!BB33),IF($Y$23="800-850",IF($Y$24="Yes",'Data Tables'!BA33,'Data Tables'!BB33),IF($Y$24="Yes",'Data Tables'!BA33,'Data Tables'!BB33)))))))))),IF($Y$23="550-575",IF($Y$24="Yes",'Data Tables'!AQ33,'Data Tables'!AR33),IF($Y$23="575-600",IF($Y$24="Yes",'Data Tables'!AQ33,'Data Tables'!AR33),IF($Y$23="600-625",IF($Y$24="Yes",'Data Tables'!AW33,'Data Tables'!AX33),IF($Y$23="625-650",IF($Y$24="Yes",'Data Tables'!AW33,'Data Tables'!AX33),IF($Y$23="650-675",IF($Y$24="Yes",'Data Tables'!AW33,'Data Tables'!AX33),IF($Y$23="675-700",IF($Y$24="Yes",'Data Tables'!AW33,'Data Tables'!AX33),IF($Y$23="700-750",IF($Y$24="Yes",'Data Tables'!BC33,'Data Tables'!BD33),IF($Y$23="750-800",IF($Y$24="Yes",'Data Tables'!BC33,'Data Tables'!BD33),IF($Y$23="800-850",IF($Y$24="Yes",'Data Tables'!BC33,'Data Tables'!BD33),IF($Y$24="Yes",'Data Tables'!BC33,'Data Tables'!BD33))))))))))))))),0),"")</f>
        <v/>
      </c>
      <c r="AC38" s="306"/>
      <c r="AF38" s="92"/>
      <c r="AG38" s="92"/>
      <c r="AH38" s="92"/>
      <c r="AI38" s="92"/>
      <c r="AJ38" s="92"/>
      <c r="AK38" s="92"/>
      <c r="AL38" s="92"/>
      <c r="AM38" s="92"/>
      <c r="AN38" s="92"/>
      <c r="AO38" s="92"/>
      <c r="AP38" s="92"/>
      <c r="AQ38" s="92"/>
      <c r="AR38" s="92"/>
      <c r="AT38" s="92"/>
      <c r="AU38" s="92"/>
      <c r="AV38" s="92"/>
      <c r="AW38" s="92"/>
      <c r="AX38" s="92"/>
      <c r="AY38" s="92"/>
      <c r="AZ38" s="92"/>
      <c r="BA38" s="92"/>
    </row>
    <row r="39" spans="2:53" ht="16.2" customHeight="1">
      <c r="B39" s="46"/>
      <c r="C39" s="42"/>
      <c r="D39" s="222"/>
      <c r="E39" s="140" t="str">
        <f>'Stage 2'!F34</f>
        <v>General arable</v>
      </c>
      <c r="F39" s="140"/>
      <c r="G39" s="140"/>
      <c r="H39" s="140"/>
      <c r="I39" s="140"/>
      <c r="J39" s="49"/>
      <c r="K39" s="308" t="str">
        <f>IF('Stage 2'!$K34&gt;0,'Stage 2'!O34/'Stage 2'!$K34,"")</f>
        <v/>
      </c>
      <c r="L39" s="225"/>
      <c r="M39" s="267" t="str">
        <f>IF('Stage 2'!$K34&gt;0,'Stage 2'!Q34/'Stage 2'!$K34,"")</f>
        <v/>
      </c>
      <c r="N39" s="233" t="s">
        <v>269</v>
      </c>
      <c r="O39" s="235" t="s">
        <v>413</v>
      </c>
      <c r="P39" s="252"/>
      <c r="Q39" s="49"/>
      <c r="R39" s="49"/>
      <c r="S39" s="49"/>
      <c r="T39" s="140" t="str">
        <f>E39</f>
        <v>General arable</v>
      </c>
      <c r="U39" s="140"/>
      <c r="V39" s="140"/>
      <c r="W39" s="140"/>
      <c r="X39" s="140"/>
      <c r="Y39" s="233" t="s">
        <v>269</v>
      </c>
      <c r="Z39" s="49"/>
      <c r="AA39" s="279"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279" t="str">
        <f>IF($Y$16="Yes",IF($Y39="Yes",IF($Y$21="Wensum",(IF($Y$22="Freely draining",IF($Y$23="550-575",IF($Y$24="Yes",'Data Tables'!AS12,'Data Tables'!AT12),IF($Y$23="575-600",IF($Y$24="Yes",'Data Tables'!AS12,'Data Tables'!AT12),IF($Y$23="600-625",IF($Y$24="Yes",'Data Tables'!AS12,'Data Tables'!AT12),IF($Y$23="625-650",IF($Y$24="Yes",'Data Tables'!AS12,'Data Tables'!AT12),IF($Y$23="650-675",IF($Y$24="Yes",'Data Tables'!AS12,'Data Tables'!AT12),IF($Y$23="675-700",IF($Y$24="Yes",'Data Tables'!AS12,'Data Tables'!AT12),IF($Y$23="700-750",IF($Y$24="Yes",'Data Tables'!AY12,'Data Tables'!AZ12),IF($Y$23="750-800",IF($Y$24="Yes",'Data Tables'!AY12,'Data Tables'!AZ12),IF($Y$23="800-850",IF($Y$24="Yes",'Data Tables'!AY12,'Data Tables'!AZ12),IF($Y$24="Yes",'Data Tables'!AY12,'Data Tables'!AZ12)))))))))),IF($Y$22="Impermeable - drained for arable",IF($Y$23="550-575",IF($Y$24="Yes",'Data Tables'!AU12,'Data Tables'!AV12),IF($Y$23="575-600",IF($Y$24="Yes",'Data Tables'!AU12,'Data Tables'!AV12),IF($Y$23="600-625",IF($Y$24="Yes",'Data Tables'!AU12,'Data Tables'!AV12),IF($Y$23="625-650",IF($Y$24="Yes",'Data Tables'!AU12,'Data Tables'!AV12),IF($Y$23="650-675",IF($Y$24="Yes",'Data Tables'!AU12,'Data Tables'!AV12),IF($Y$23="675-700",IF($Y$24="Yes",'Data Tables'!AU12,'Data Tables'!AV12),IF($Y$23="700-750",IF($Y$24="Yes",'Data Tables'!BA12,'Data Tables'!BB12),IF($Y$23="750-800",IF($Y$24="Yes",'Data Tables'!BA12,'Data Tables'!BB12),IF($Y$23="800-850",IF($Y$24="Yes",'Data Tables'!BA12,'Data Tables'!BB12),IF($Y$24="Yes",'Data Tables'!BA12,'Data Tables'!BB12)))))))))),IF($Y$23="550-575",IF($Y$24="Yes",'Data Tables'!AW12,'Data Tables'!AX12),IF($Y$23="575-600",IF($Y$24="Yes",'Data Tables'!AW12,'Data Tables'!AX12),IF($Y$23="600-625",IF($Y$24="Yes",'Data Tables'!AW12,'Data Tables'!AX12),IF($Y$23="625-650",IF($Y$24="Yes",'Data Tables'!AW12,'Data Tables'!AX12),IF($Y$23="650-675",IF($Y$24="Yes",'Data Tables'!AW12,'Data Tables'!AX12),IF($Y$23="675-700",IF($Y$24="Yes",'Data Tables'!AW12,'Data Tables'!AX12),IF($Y$23="700-750",IF($Y$24="Yes",'Data Tables'!BC12,'Data Tables'!BD12),IF($Y$23="750-800",IF($Y$24="Yes",'Data Tables'!BC12,'Data Tables'!BD12),IF($Y$23="800-850",IF($Y$24="Yes",'Data Tables'!BC12,'Data Tables'!BD12),IF($Y$24="Yes",'Data Tables'!BC12,'Data Tables'!BD12))))))))))))),IF($Y$21="Yare",(IF($Y$22="Freely draining",IF($Y$23="550-575",IF($Y$24="Yes",'Data Tables'!AS23,'Data Tables'!AT23),IF($Y$23="575-600",IF($Y$24="Yes",'Data Tables'!AS23,'Data Tables'!AT23),IF($Y$23="600-625",IF($Y$24="Yes",'Data Tables'!AS23,'Data Tables'!AT23),IF($Y$23="625-650",IF($Y$24="Yes",'Data Tables'!AS23,'Data Tables'!AT23),IF($Y$23="650-675",IF($Y$24="Yes",'Data Tables'!AS23,'Data Tables'!AT23),IF($Y$23="675-700",IF($Y$24="Yes",'Data Tables'!AS23,'Data Tables'!AT23),IF($Y$23="700-750",IF($Y$24="Yes",'Data Tables'!AY23,'Data Tables'!AZ23),IF($Y$23="750-800",IF($Y$24="Yes",'Data Tables'!AY23,'Data Tables'!AZ23),IF($Y$23="800-850",IF($Y$24="Yes",'Data Tables'!AY23,'Data Tables'!AZ23),IF($Y$24="Yes",'Data Tables'!AY23,'Data Tables'!AZ23)))))))))),IF($Y$22="Impermeable - drained for arable",IF($Y$23="550-575",IF($Y$24="Yes",'Data Tables'!AU23,'Data Tables'!AV23),IF($Y$23="575-600",IF($Y$24="Yes",'Data Tables'!AU23,'Data Tables'!AV23),IF($Y$23="600-625",IF($Y$24="Yes",'Data Tables'!AU23,'Data Tables'!AV23),IF($Y$23="625-650",IF($Y$24="Yes",'Data Tables'!AU23,'Data Tables'!AV23),IF($Y$23="650-675",IF($Y$24="Yes",'Data Tables'!AU23,'Data Tables'!AV23),IF($Y$23="675-700",IF($Y$24="Yes",'Data Tables'!AU23,'Data Tables'!AV23),IF($Y$23="700-750",IF($Y$24="Yes",'Data Tables'!BA23,'Data Tables'!BB23),IF($Y$23="750-800",IF($Y$24="Yes",'Data Tables'!BA23,'Data Tables'!BB23),IF($Y$23="800-850",IF($Y$24="Yes",'Data Tables'!BA23,'Data Tables'!BB23),IF($Y$24="Yes",'Data Tables'!BA23,'Data Tables'!BB23)))))))))),IF($Y$23="550-575",IF($Y$24="Yes",'Data Tables'!AW23,'Data Tables'!AX23),IF($Y$23="575-600",IF($Y$24="Yes",'Data Tables'!AW23,'Data Tables'!AX23),IF($Y$23="600-625",IF($Y$24="Yes",'Data Tables'!AW23,'Data Tables'!AX23),IF($Y$23="625-650",IF($Y$24="Yes",'Data Tables'!AW23,'Data Tables'!AX23),IF($Y$23="650-675",IF($Y$24="Yes",'Data Tables'!AW23,'Data Tables'!AX23),IF($Y$23="675-700",IF($Y$24="Yes",'Data Tables'!AW23,'Data Tables'!AX23),IF($Y$23="700-750",IF($Y$24="Yes",'Data Tables'!BC23,'Data Tables'!BD23),IF($Y$23="750-800",IF($Y$24="Yes",'Data Tables'!BC23,'Data Tables'!BD23),IF($Y$23="800-850",IF($Y$24="Yes",'Data Tables'!BC23,'Data Tables'!BD23),IF($Y$24="Yes",'Data Tables'!BC23,'Data Tables'!BD23))))))))))))),(IF($Y$22="Freely draining",IF($Y$23="550-575",IF($Y$24="Yes",'Data Tables'!AM34,'Data Tables'!AN34),IF($Y$23="575-600",IF($Y$24="Yes",'Data Tables'!AM34,'Data Tables'!AN34),IF($Y$23="600-625",IF($Y$24="Yes",'Data Tables'!AS34,'Data Tables'!AT34),IF($Y$23="625-650",IF($Y$24="Yes",'Data Tables'!AS34,'Data Tables'!AT34),IF($Y$23="650-675",IF($Y$24="Yes",'Data Tables'!AS34,'Data Tables'!AT34),IF($Y$23="675-700",IF($Y$24="Yes",'Data Tables'!AS34,'Data Tables'!AT34),IF($Y$23="700-750",IF($Y$24="Yes",'Data Tables'!AY34,'Data Tables'!AZ34),IF($Y$23="750-800",IF($Y$24="Yes",'Data Tables'!AY34,'Data Tables'!AZ34),IF($Y$23="800-850",IF($Y$24="Yes",'Data Tables'!AY34,'Data Tables'!AZ34),IF($Y$24="Yes",'Data Tables'!AY34,'Data Tables'!AZ34)))))))))),IF($Y$22="Impermeable - drained for arable",IF($Y$23="550-575",IF($Y$24="Yes",'Data Tables'!AO34,'Data Tables'!AP34),IF($Y$23="575-600",IF($Y$24="Yes",'Data Tables'!AO34,'Data Tables'!AP34),IF($Y$23="600-625",IF($Y$24="Yes",'Data Tables'!AU34,'Data Tables'!AV34),IF($Y$23="625-650",IF($Y$24="Yes",'Data Tables'!AU34,'Data Tables'!AV34),IF($Y$23="650-675",IF($Y$24="Yes",'Data Tables'!AU34,'Data Tables'!AV34),IF($Y$23="675-700",IF($Y$24="Yes",'Data Tables'!AU34,'Data Tables'!AV34),IF($Y$23="700-750",IF($Y$24="Yes",'Data Tables'!BA34,'Data Tables'!BB34),IF($Y$23="750-800",IF($Y$24="Yes",'Data Tables'!BA34,'Data Tables'!BB34),IF($Y$23="800-850",IF($Y$24="Yes",'Data Tables'!BA34,'Data Tables'!BB34),IF($Y$24="Yes",'Data Tables'!BA34,'Data Tables'!BB34)))))))))),IF($Y$23="550-575",IF($Y$24="Yes",'Data Tables'!AQ34,'Data Tables'!AR34),IF($Y$23="575-600",IF($Y$24="Yes",'Data Tables'!AQ34,'Data Tables'!AR34),IF($Y$23="600-625",IF($Y$24="Yes",'Data Tables'!AW34,'Data Tables'!AX34),IF($Y$23="625-650",IF($Y$24="Yes",'Data Tables'!AW34,'Data Tables'!AX34),IF($Y$23="650-675",IF($Y$24="Yes",'Data Tables'!AW34,'Data Tables'!AX34),IF($Y$23="675-700",IF($Y$24="Yes",'Data Tables'!AW34,'Data Tables'!AX34),IF($Y$23="700-750",IF($Y$24="Yes",'Data Tables'!BC34,'Data Tables'!BD34),IF($Y$23="750-800",IF($Y$24="Yes",'Data Tables'!BC34,'Data Tables'!BD34),IF($Y$23="800-850",IF($Y$24="Yes",'Data Tables'!BC34,'Data Tables'!BD34),IF($Y$24="Yes",'Data Tables'!BC34,'Data Tables'!BD34))))))))))))))),0),"")</f>
        <v/>
      </c>
      <c r="AC39" s="306"/>
      <c r="AF39" s="92"/>
      <c r="AG39" s="92"/>
      <c r="AH39" s="92"/>
      <c r="AI39" s="92"/>
      <c r="AJ39" s="92"/>
      <c r="AK39" s="92"/>
      <c r="AL39" s="92"/>
      <c r="AM39" s="92"/>
      <c r="AN39" s="92"/>
      <c r="AO39" s="92"/>
      <c r="AP39" s="92"/>
      <c r="AQ39" s="92"/>
      <c r="AR39" s="92"/>
      <c r="AT39" s="92"/>
      <c r="AU39" s="92"/>
      <c r="AV39" s="92"/>
      <c r="AW39" s="92"/>
      <c r="AX39" s="92"/>
      <c r="AY39" s="92"/>
      <c r="AZ39" s="92"/>
      <c r="BA39" s="92"/>
    </row>
    <row r="40" spans="2:29" ht="16.2" customHeight="1">
      <c r="B40" s="46"/>
      <c r="C40" s="42"/>
      <c r="D40" s="222"/>
      <c r="E40" s="140" t="str">
        <f>'Stage 2'!F35</f>
        <v>Allotments and city farms</v>
      </c>
      <c r="F40" s="140"/>
      <c r="G40" s="140"/>
      <c r="H40" s="140"/>
      <c r="I40" s="140"/>
      <c r="J40" s="49"/>
      <c r="K40" s="284" t="str">
        <f>IF('Stage 2'!K35&gt;0,'Data Tables'!O3,"")</f>
        <v/>
      </c>
      <c r="L40" s="263"/>
      <c r="M40" s="267"/>
      <c r="N40" s="233" t="s">
        <v>269</v>
      </c>
      <c r="O40" s="235" t="s">
        <v>413</v>
      </c>
      <c r="P40" s="252"/>
      <c r="Q40" s="49"/>
      <c r="R40" s="49"/>
      <c r="S40" s="49"/>
      <c r="T40" s="140" t="str">
        <f>E40</f>
        <v>Allotments and city farms</v>
      </c>
      <c r="U40" s="140"/>
      <c r="V40" s="140"/>
      <c r="W40" s="140"/>
      <c r="X40" s="140"/>
      <c r="Y40" s="233" t="s">
        <v>269</v>
      </c>
      <c r="Z40" s="49"/>
      <c r="AA40" s="279" t="str">
        <f>IF($Y$16="Yes",IF($Y40="Yes",IF($Y$21="Wensum",(IF($Y$22="Freely draining",IF($Y$23="550-575",IF($Y$24="Yes",'Data Tables'!Y13,'Data Tables'!Z13),IF($Y$23="575-600",IF($Y$24="Yes",'Data Tables'!Y13,'Data Tables'!Z13),IF($Y$23="600-625",IF($Y$24="Yes",'Data Tables'!Y13,'Data Tables'!Z13),IF($Y$23="625-650",IF($Y$24="Yes",'Data Tables'!Y13,'Data Tables'!Z13),IF($Y$23="650-675",IF($Y$24="Yes",'Data Tables'!Y13,'Data Tables'!Z13),IF($Y$23="675-700",IF($Y$24="Yes",'Data Tables'!Y13,'Data Tables'!Z13),IF($Y$23="700-750",IF($Y$24="Yes",'Data Tables'!AE13,'Data Tables'!AF13),IF($Y$23="750-800",IF($Y$24="Yes",'Data Tables'!AE13,'Data Tables'!AF13),IF($Y$23="800-850",IF($Y$24="Yes",'Data Tables'!AE13,'Data Tables'!AF13),IF($Y$24="Yes",'Data Tables'!AE13,'Data Tables'!AF13)))))))))),IF($Y$22="Impermeable - drained for arable",IF($Y$23="550-575",IF($Y$24="Yes",'Data Tables'!AA13,'Data Tables'!AB13),IF($Y$23="575-600",IF($Y$24="Yes",'Data Tables'!AA13,'Data Tables'!AB13),IF($Y$23="600-625",IF($Y$24="Yes",'Data Tables'!AA13,'Data Tables'!AB13),IF($Y$23="625-650",IF($Y$24="Yes",'Data Tables'!AA13,'Data Tables'!AB13),IF($Y$23="650-675",IF($Y$24="Yes",'Data Tables'!AA13,'Data Tables'!AB13),IF($Y$23="675-700",IF($Y$24="Yes",'Data Tables'!AA13,'Data Tables'!AB13),IF($Y$23="700-750",IF($Y$24="Yes",'Data Tables'!AG13,'Data Tables'!AH13),IF($Y$23="750-800",IF($Y$24="Yes",'Data Tables'!AG13,'Data Tables'!AH13),IF($Y$23="800-850",IF($Y$24="Yes",'Data Tables'!AG13,'Data Tables'!AH13),IF($Y$24="Yes",'Data Tables'!AG13,'Data Tables'!AH13)))))))))),IF($Y$23="550-575",IF($Y$24="Yes",'Data Tables'!AC13,'Data Tables'!AD13),IF($Y$23="575-600",IF($Y$24="Yes",'Data Tables'!AC13,'Data Tables'!AD13),IF($Y$23="600-625",IF($Y$24="Yes",'Data Tables'!AC13,'Data Tables'!AD13),IF($Y$23="625-650",IF($Y$24="Yes",'Data Tables'!AC13,'Data Tables'!AD13),IF($Y$23="650-675",IF($Y$24="Yes",'Data Tables'!AC13,'Data Tables'!AD13),IF($Y$23="675-700",IF($Y$24="Yes",'Data Tables'!AC13,'Data Tables'!AD13),IF($Y$23="700-750",IF($Y$24="Yes",'Data Tables'!AI13,'Data Tables'!AJ13),IF($Y$23="750-800",IF($Y$24="Yes",'Data Tables'!AI13,'Data Tables'!AJ13),IF($Y$23="800-850",IF($Y$24="Yes",'Data Tables'!AI13,'Data Tables'!AJ13),IF($Y$24="Yes",'Data Tables'!AI13,'Data Tables'!AJ13))))))))))))),IF($Y$21="Yare",(IF($Y$22="Freely draining",IF($Y$23="550-575",IF($Y$24="Yes",'Data Tables'!Y24,'Data Tables'!Z24),IF($Y$23="575-600",IF($Y$24="Yes",'Data Tables'!Y24,'Data Tables'!Z24),IF($Y$23="600-625",IF($Y$24="Yes",'Data Tables'!Y24,'Data Tables'!Z24),IF($Y$23="625-650",IF($Y$24="Yes",'Data Tables'!Y24,'Data Tables'!Z24),IF($Y$23="650-675",IF($Y$24="Yes",'Data Tables'!Y24,'Data Tables'!Z24),IF($Y$23="675-700",IF($Y$24="Yes",'Data Tables'!Y24,'Data Tables'!Z24),IF($Y$23="700-750",IF($Y$24="Yes",'Data Tables'!AE24,'Data Tables'!AF24),IF($Y$23="750-800",IF($Y$24="Yes",'Data Tables'!AE24,'Data Tables'!AF24),IF($Y$23="800-850",IF($Y$24="Yes",'Data Tables'!AE24,'Data Tables'!AF24),IF($Y$24="Yes",'Data Tables'!AE24,'Data Tables'!AF24)))))))))),IF($Y$22="Impermeable - drained for arable",IF($Y$23="550-575",IF($Y$24="Yes",'Data Tables'!AA24,'Data Tables'!AB24),IF($Y$23="575-600",IF($Y$24="Yes",'Data Tables'!AA24,'Data Tables'!AB24),IF($Y$23="600-625",IF($Y$24="Yes",'Data Tables'!AA24,'Data Tables'!AB24),IF($Y$23="625-650",IF($Y$24="Yes",'Data Tables'!AA24,'Data Tables'!AB24),IF($Y$23="650-675",IF($Y$24="Yes",'Data Tables'!AA24,'Data Tables'!AB24),IF($Y$23="675-700",IF($Y$24="Yes",'Data Tables'!AA24,'Data Tables'!AB24),IF($Y$23="700-750",IF($Y$24="Yes",'Data Tables'!AG24,'Data Tables'!AH24),IF($Y$23="750-800",IF($Y$24="Yes",'Data Tables'!AG24,'Data Tables'!AH24),IF($Y$23="800-850",IF($Y$24="Yes",'Data Tables'!AG24,'Data Tables'!AH24),IF($Y$24="Yes",'Data Tables'!AG24,'Data Tables'!AH24)))))))))),IF($Y$23="550-575",IF($Y$24="Yes",'Data Tables'!AC24,'Data Tables'!AD24),IF($Y$23="575-600",IF($Y$24="Yes",'Data Tables'!AC24,'Data Tables'!AD24),IF($Y$23="600-625",IF($Y$24="Yes",'Data Tables'!AC24,'Data Tables'!AD24),IF($Y$23="625-650",IF($Y$24="Yes",'Data Tables'!AC24,'Data Tables'!AD24),IF($Y$23="650-675",IF($Y$24="Yes",'Data Tables'!AC24,'Data Tables'!AD24),IF($Y$23="675-700",IF($Y$24="Yes",'Data Tables'!AC24,'Data Tables'!AD24),IF($Y$23="700-750",IF($Y$24="Yes",'Data Tables'!AI24,'Data Tables'!AJ24),IF($Y$23="750-800",IF($Y$24="Yes",'Data Tables'!AI24,'Data Tables'!AJ24),IF($Y$23="800-850",IF($Y$24="Yes",'Data Tables'!AI24,'Data Tables'!AJ24),IF($Y$24="Yes",'Data Tables'!AI24,'Data Tables'!AJ24))))))))))))),(IF($Y$22="Freely draining",IF($Y$23="550-575",IF($Y$24="Yes",'Data Tables'!S35,'Data Tables'!T35),IF($Y$23="575-600",IF($Y$24="Yes",'Data Tables'!S35,'Data Tables'!T35),IF($Y$23="600-625",IF($Y$24="Yes",'Data Tables'!Y35,'Data Tables'!Z35),IF($Y$23="625-650",IF($Y$24="Yes",'Data Tables'!Y35,'Data Tables'!Z35),IF($Y$23="650-675",IF($Y$24="Yes",'Data Tables'!Y35,'Data Tables'!Z35),IF($Y$23="675-700",IF($Y$24="Yes",'Data Tables'!Y35,'Data Tables'!Z35),IF($Y$23="700-750",IF($Y$24="Yes",'Data Tables'!AE35,'Data Tables'!AF35),IF($Y$23="750-800",IF($Y$24="Yes",'Data Tables'!AE35,'Data Tables'!AF35),IF($Y$23="800-850",IF($Y$24="Yes",'Data Tables'!AE35,'Data Tables'!AF35),IF($Y$24="Yes",'Data Tables'!AE35,'Data Tables'!AF35)))))))))),IF($Y$22="Impermeable - drained for arable",IF($Y$23="550-575",IF($Y$24="Yes",'Data Tables'!U35,'Data Tables'!V35),IF($Y$23="575-600",IF($Y$24="Yes",'Data Tables'!U35,'Data Tables'!V35),IF($Y$23="600-625",IF($Y$24="Yes",'Data Tables'!AA35,'Data Tables'!AB35),IF($Y$23="625-650",IF($Y$24="Yes",'Data Tables'!AA35,'Data Tables'!AB35),IF($Y$23="650-675",IF($Y$24="Yes",'Data Tables'!AA35,'Data Tables'!AB35),IF($Y$23="675-700",IF($Y$24="Yes",'Data Tables'!AA35,'Data Tables'!AB35),IF($Y$23="700-750",IF($Y$24="Yes",'Data Tables'!AG35,'Data Tables'!AH35),IF($Y$23="750-800",IF($Y$24="Yes",'Data Tables'!AG35,'Data Tables'!AH35),IF($Y$23="800-850",IF($Y$24="Yes",'Data Tables'!AG35,'Data Tables'!AH35),IF($Y$24="Yes",'Data Tables'!AG35,'Data Tables'!AH35)))))))))),IF($Y$23="550-575",IF($Y$24="Yes",'Data Tables'!W35,'Data Tables'!X35),IF($Y$23="575-600",IF($Y$24="Yes",'Data Tables'!W35,'Data Tables'!X35),IF($Y$23="600-625",IF($Y$24="Yes",'Data Tables'!AC35,'Data Tables'!AD35),IF($Y$23="625-650",IF($Y$24="Yes",'Data Tables'!AC35,'Data Tables'!AD35),IF($Y$23="650-675",IF($Y$24="Yes",'Data Tables'!AC35,'Data Tables'!AD35),IF($Y$23="675-700",IF($Y$24="Yes",'Data Tables'!AC35,'Data Tables'!AD35),IF($Y$23="700-750",IF($Y$24="Yes",'Data Tables'!AI35,'Data Tables'!AJ35),IF($Y$23="750-800",IF($Y$24="Yes",'Data Tables'!AI35,'Data Tables'!AJ35),IF($Y$23="800-850",IF($Y$24="Yes",'Data Tables'!AI35,'Data Tables'!AJ35),IF($Y$24="Yes",'Data Tables'!AI35,'Data Tables'!AJ35))))))))))))))),0),"")</f>
        <v/>
      </c>
      <c r="AB40" s="279" t="str">
        <f>IF($Y$16="Yes",IF($Y40="Yes",IF($Y$21="Wensum",(IF($Y$22="Freely draining",IF($Y$23="550-575",IF($Y$24="Yes",'Data Tables'!AS13,'Data Tables'!AT13),IF($Y$23="575-600",IF($Y$24="Yes",'Data Tables'!AS13,'Data Tables'!AT13),IF($Y$23="600-625",IF($Y$24="Yes",'Data Tables'!AS13,'Data Tables'!AT13),IF($Y$23="625-650",IF($Y$24="Yes",'Data Tables'!AS13,'Data Tables'!AT13),IF($Y$23="650-675",IF($Y$24="Yes",'Data Tables'!AS13,'Data Tables'!AT13),IF($Y$23="675-700",IF($Y$24="Yes",'Data Tables'!AS13,'Data Tables'!AT13),IF($Y$23="700-750",IF($Y$24="Yes",'Data Tables'!AY13,'Data Tables'!AZ13),IF($Y$23="750-800",IF($Y$24="Yes",'Data Tables'!AY13,'Data Tables'!AZ13),IF($Y$23="800-850",IF($Y$24="Yes",'Data Tables'!AY13,'Data Tables'!AZ13),IF($Y$24="Yes",'Data Tables'!AY13,'Data Tables'!AZ13)))))))))),IF($Y$22="Impermeable - drained for arable",IF($Y$23="550-575",IF($Y$24="Yes",'Data Tables'!AU13,'Data Tables'!AV13),IF($Y$23="575-600",IF($Y$24="Yes",'Data Tables'!AU13,'Data Tables'!AV13),IF($Y$23="600-625",IF($Y$24="Yes",'Data Tables'!AU13,'Data Tables'!AV13),IF($Y$23="625-650",IF($Y$24="Yes",'Data Tables'!AU13,'Data Tables'!AV13),IF($Y$23="650-675",IF($Y$24="Yes",'Data Tables'!AU13,'Data Tables'!AV13),IF($Y$23="675-700",IF($Y$24="Yes",'Data Tables'!AU13,'Data Tables'!AV13),IF($Y$23="700-750",IF($Y$24="Yes",'Data Tables'!BA13,'Data Tables'!BB13),IF($Y$23="750-800",IF($Y$24="Yes",'Data Tables'!BA13,'Data Tables'!BB13),IF($Y$23="800-850",IF($Y$24="Yes",'Data Tables'!BA13,'Data Tables'!BB13),IF($Y$24="Yes",'Data Tables'!BA13,'Data Tables'!BB13)))))))))),IF($Y$23="550-575",IF($Y$24="Yes",'Data Tables'!AW13,'Data Tables'!AX13),IF($Y$23="575-600",IF($Y$24="Yes",'Data Tables'!AW13,'Data Tables'!AX13),IF($Y$23="600-625",IF($Y$24="Yes",'Data Tables'!AW13,'Data Tables'!AX13),IF($Y$23="625-650",IF($Y$24="Yes",'Data Tables'!AW13,'Data Tables'!AX13),IF($Y$23="650-675",IF($Y$24="Yes",'Data Tables'!AW13,'Data Tables'!AX13),IF($Y$23="675-700",IF($Y$24="Yes",'Data Tables'!AW13,'Data Tables'!AX13),IF($Y$23="700-750",IF($Y$24="Yes",'Data Tables'!BC13,'Data Tables'!BD13),IF($Y$23="750-800",IF($Y$24="Yes",'Data Tables'!BC13,'Data Tables'!BD13),IF($Y$23="800-850",IF($Y$24="Yes",'Data Tables'!BC13,'Data Tables'!BD13),IF($Y$24="Yes",'Data Tables'!BC13,'Data Tables'!BD13))))))))))))),IF($Y$21="Yare",(IF($Y$22="Freely draining",IF($Y$23="550-575",IF($Y$24="Yes",'Data Tables'!AS24,'Data Tables'!AT24),IF($Y$23="575-600",IF($Y$24="Yes",'Data Tables'!AS24,'Data Tables'!AT24),IF($Y$23="600-625",IF($Y$24="Yes",'Data Tables'!AS24,'Data Tables'!AT24),IF($Y$23="625-650",IF($Y$24="Yes",'Data Tables'!AS24,'Data Tables'!AT24),IF($Y$23="650-675",IF($Y$24="Yes",'Data Tables'!AS24,'Data Tables'!AT24),IF($Y$23="675-700",IF($Y$24="Yes",'Data Tables'!AS24,'Data Tables'!AT24),IF($Y$23="700-750",IF($Y$24="Yes",'Data Tables'!AY24,'Data Tables'!AZ24),IF($Y$23="750-800",IF($Y$24="Yes",'Data Tables'!AY24,'Data Tables'!AZ24),IF($Y$23="800-850",IF($Y$24="Yes",'Data Tables'!AY24,'Data Tables'!AZ24),IF($Y$24="Yes",'Data Tables'!AY24,'Data Tables'!AZ24)))))))))),IF($Y$22="Impermeable - drained for arable",IF($Y$23="550-575",IF($Y$24="Yes",'Data Tables'!AU24,'Data Tables'!AV24),IF($Y$23="575-600",IF($Y$24="Yes",'Data Tables'!AU24,'Data Tables'!AV24),IF($Y$23="600-625",IF($Y$24="Yes",'Data Tables'!AU24,'Data Tables'!AV24),IF($Y$23="625-650",IF($Y$24="Yes",'Data Tables'!AU24,'Data Tables'!AV24),IF($Y$23="650-675",IF($Y$24="Yes",'Data Tables'!AU24,'Data Tables'!AV24),IF($Y$23="675-700",IF($Y$24="Yes",'Data Tables'!AU24,'Data Tables'!AV24),IF($Y$23="700-750",IF($Y$24="Yes",'Data Tables'!BA24,'Data Tables'!BB24),IF($Y$23="750-800",IF($Y$24="Yes",'Data Tables'!BA24,'Data Tables'!BB24),IF($Y$23="800-850",IF($Y$24="Yes",'Data Tables'!BA24,'Data Tables'!BB24),IF($Y$24="Yes",'Data Tables'!BA24,'Data Tables'!BB24)))))))))),IF($Y$23="550-575",IF($Y$24="Yes",'Data Tables'!AW24,'Data Tables'!AX24),IF($Y$23="575-600",IF($Y$24="Yes",'Data Tables'!AW24,'Data Tables'!AX24),IF($Y$23="600-625",IF($Y$24="Yes",'Data Tables'!AW24,'Data Tables'!AX24),IF($Y$23="625-650",IF($Y$24="Yes",'Data Tables'!AW24,'Data Tables'!AX24),IF($Y$23="650-675",IF($Y$24="Yes",'Data Tables'!AW24,'Data Tables'!AX24),IF($Y$23="675-700",IF($Y$24="Yes",'Data Tables'!AW24,'Data Tables'!AX24),IF($Y$23="700-750",IF($Y$24="Yes",'Data Tables'!BC24,'Data Tables'!BD24),IF($Y$23="750-800",IF($Y$24="Yes",'Data Tables'!BC24,'Data Tables'!BD24),IF($Y$23="800-850",IF($Y$24="Yes",'Data Tables'!BC24,'Data Tables'!BD24),IF($Y$24="Yes",'Data Tables'!BC24,'Data Tables'!BD24))))))))))))),(IF($Y$22="Freely draining",IF($Y$23="550-575",IF($Y$24="Yes",'Data Tables'!AM35,'Data Tables'!AN35),IF($Y$23="575-600",IF($Y$24="Yes",'Data Tables'!AM35,'Data Tables'!AN35),IF($Y$23="600-625",IF($Y$24="Yes",'Data Tables'!AS35,'Data Tables'!AT35),IF($Y$23="625-650",IF($Y$24="Yes",'Data Tables'!AS35,'Data Tables'!AT35),IF($Y$23="650-675",IF($Y$24="Yes",'Data Tables'!AS35,'Data Tables'!AT35),IF($Y$23="675-700",IF($Y$24="Yes",'Data Tables'!AS35,'Data Tables'!AT35),IF($Y$23="700-750",IF($Y$24="Yes",'Data Tables'!AY35,'Data Tables'!AZ35),IF($Y$23="750-800",IF($Y$24="Yes",'Data Tables'!AY35,'Data Tables'!AZ35),IF($Y$23="800-850",IF($Y$24="Yes",'Data Tables'!AY35,'Data Tables'!AZ35),IF($Y$24="Yes",'Data Tables'!AY35,'Data Tables'!AZ35)))))))))),IF($Y$22="Impermeable - drained for arable",IF($Y$23="550-575",IF($Y$24="Yes",'Data Tables'!AO35,'Data Tables'!AP35),IF($Y$23="575-600",IF($Y$24="Yes",'Data Tables'!AO35,'Data Tables'!AP35),IF($Y$23="600-625",IF($Y$24="Yes",'Data Tables'!AU35,'Data Tables'!AV35),IF($Y$23="625-650",IF($Y$24="Yes",'Data Tables'!AU35,'Data Tables'!AV35),IF($Y$23="650-675",IF($Y$24="Yes",'Data Tables'!AU35,'Data Tables'!AV35),IF($Y$23="675-700",IF($Y$24="Yes",'Data Tables'!AU35,'Data Tables'!AV35),IF($Y$23="700-750",IF($Y$24="Yes",'Data Tables'!BA35,'Data Tables'!BB35),IF($Y$23="750-800",IF($Y$24="Yes",'Data Tables'!BA35,'Data Tables'!BB35),IF($Y$23="800-850",IF($Y$24="Yes",'Data Tables'!BA35,'Data Tables'!BB35),IF($Y$24="Yes",'Data Tables'!BA35,'Data Tables'!BB35)))))))))),IF($Y$23="550-575",IF($Y$24="Yes",'Data Tables'!AQ35,'Data Tables'!AR35),IF($Y$23="575-600",IF($Y$24="Yes",'Data Tables'!AQ35,'Data Tables'!AR35),IF($Y$23="600-625",IF($Y$24="Yes",'Data Tables'!AW35,'Data Tables'!AX35),IF($Y$23="625-650",IF($Y$24="Yes",'Data Tables'!AW35,'Data Tables'!AX35),IF($Y$23="650-675",IF($Y$24="Yes",'Data Tables'!AW35,'Data Tables'!AX35),IF($Y$23="675-700",IF($Y$24="Yes",'Data Tables'!AW35,'Data Tables'!AX35),IF($Y$23="700-750",IF($Y$24="Yes",'Data Tables'!BC35,'Data Tables'!BD35),IF($Y$23="750-800",IF($Y$24="Yes",'Data Tables'!BC35,'Data Tables'!BD35),IF($Y$23="800-850",IF($Y$24="Yes",'Data Tables'!BC35,'Data Tables'!BD35),IF($Y$24="Yes",'Data Tables'!BC35,'Data Tables'!BD35))))))))))))))),0),"")</f>
        <v/>
      </c>
      <c r="AC40" s="306"/>
    </row>
    <row r="41" spans="2:29" ht="16.2" customHeight="1">
      <c r="B41" s="46"/>
      <c r="C41" s="42"/>
      <c r="D41" s="222"/>
      <c r="E41" s="140" t="str">
        <f>'Stage 2'!F36</f>
        <v>Woodland (e.g. conifer, mixed, broad-leaved)</v>
      </c>
      <c r="F41" s="140"/>
      <c r="G41" s="140"/>
      <c r="H41" s="140"/>
      <c r="I41" s="140"/>
      <c r="J41" s="49"/>
      <c r="K41" s="284" t="str">
        <f>IF('Stage 2'!K36&gt;0,'Data Tables'!O5,"")</f>
        <v/>
      </c>
      <c r="L41" s="263"/>
      <c r="M41" s="267"/>
      <c r="N41" s="233" t="s">
        <v>269</v>
      </c>
      <c r="O41" s="235" t="s">
        <v>413</v>
      </c>
      <c r="P41" s="252"/>
      <c r="Q41" s="49"/>
      <c r="R41" s="49"/>
      <c r="S41" s="49"/>
      <c r="T41" s="140" t="str">
        <f>E41</f>
        <v>Woodland (e.g. conifer, mixed, broad-leaved)</v>
      </c>
      <c r="U41" s="140"/>
      <c r="V41" s="140"/>
      <c r="W41" s="140"/>
      <c r="X41" s="140"/>
      <c r="Y41" s="233" t="s">
        <v>269</v>
      </c>
      <c r="Z41" s="49"/>
      <c r="AA41" s="279" t="str">
        <f>IF($Y$16="Yes",(IF(Y41="Yes",'Data Tables'!O5,0)),"")</f>
        <v/>
      </c>
      <c r="AB41" s="279" t="str">
        <f>IF($Y$16="Yes",(IF(Z41="Yes",'Data Tables'!P5,0)),"")</f>
        <v/>
      </c>
      <c r="AC41" s="306"/>
    </row>
    <row r="42" spans="2:29" ht="16.2" customHeight="1">
      <c r="B42" s="46"/>
      <c r="C42" s="42"/>
      <c r="D42" s="222"/>
      <c r="E42" s="140" t="str">
        <f>'Stage 2'!F37</f>
        <v>Greenspace</v>
      </c>
      <c r="F42" s="140"/>
      <c r="G42" s="140"/>
      <c r="H42" s="140"/>
      <c r="I42" s="140"/>
      <c r="J42" s="49"/>
      <c r="K42" s="284" t="str">
        <f>IF('Stage 2'!K37&gt;0,'Data Tables'!O4,"")</f>
        <v/>
      </c>
      <c r="L42" s="263"/>
      <c r="M42" s="267"/>
      <c r="N42" s="233" t="s">
        <v>269</v>
      </c>
      <c r="O42" s="235" t="s">
        <v>413</v>
      </c>
      <c r="P42" s="252"/>
      <c r="Q42" s="49"/>
      <c r="R42" s="49"/>
      <c r="S42" s="49"/>
      <c r="T42" s="140" t="str">
        <f>E42</f>
        <v>Greenspace</v>
      </c>
      <c r="U42" s="140"/>
      <c r="V42" s="140"/>
      <c r="W42" s="140"/>
      <c r="X42" s="140"/>
      <c r="Y42" s="233" t="s">
        <v>269</v>
      </c>
      <c r="Z42" s="49"/>
      <c r="AA42" s="279" t="str">
        <f>IF($Y$16="Yes",(IF(Y42="Yes",'Data Tables'!O4,0)),"")</f>
        <v/>
      </c>
      <c r="AB42" s="279" t="str">
        <f>IF($Y$16="Yes",(IF(Z42="Yes",'Data Tables'!P4,0)),"")</f>
        <v/>
      </c>
      <c r="AC42" s="306"/>
    </row>
    <row r="43" spans="2:29" ht="16.2" customHeight="1">
      <c r="B43" s="46"/>
      <c r="C43" s="42"/>
      <c r="D43" s="222"/>
      <c r="E43" s="140" t="str">
        <f>'Stage 2'!F38</f>
        <v>Shrub / heathland / bracken / bog</v>
      </c>
      <c r="F43" s="140"/>
      <c r="G43" s="140"/>
      <c r="H43" s="140"/>
      <c r="I43" s="140"/>
      <c r="J43" s="49"/>
      <c r="K43" s="284" t="str">
        <f>IF('Stage 2'!K38&gt;0,'Data Tables'!O6,"")</f>
        <v/>
      </c>
      <c r="L43" s="263"/>
      <c r="M43" s="267"/>
      <c r="N43" s="233" t="s">
        <v>269</v>
      </c>
      <c r="O43" s="235" t="s">
        <v>413</v>
      </c>
      <c r="P43" s="252"/>
      <c r="Q43" s="49"/>
      <c r="R43" s="49"/>
      <c r="S43" s="49"/>
      <c r="T43" s="140" t="str">
        <f>E43</f>
        <v>Shrub / heathland / bracken / bog</v>
      </c>
      <c r="U43" s="140"/>
      <c r="V43" s="140"/>
      <c r="W43" s="140"/>
      <c r="X43" s="140"/>
      <c r="Y43" s="233" t="s">
        <v>269</v>
      </c>
      <c r="Z43" s="49"/>
      <c r="AA43" s="279" t="str">
        <f>IF($Y$16="Yes",(IF(Y43="Yes",'Data Tables'!O6,0)),"")</f>
        <v/>
      </c>
      <c r="AB43" s="279" t="str">
        <f>IF($Y$16="Yes",(IF(Z43="Yes",'Data Tables'!P6,0)),"")</f>
        <v/>
      </c>
      <c r="AC43" s="306"/>
    </row>
    <row r="44" spans="2:29" ht="15" customHeight="1">
      <c r="B44" s="46"/>
      <c r="C44" s="42"/>
      <c r="D44" s="222"/>
      <c r="E44" s="140" t="str">
        <f>'Stage 2'!F39</f>
        <v>Water</v>
      </c>
      <c r="F44" s="140"/>
      <c r="G44" s="140"/>
      <c r="H44" s="140"/>
      <c r="I44" s="140"/>
      <c r="J44" s="49"/>
      <c r="K44" s="284" t="str">
        <f>IF('Stage 2'!K39&gt;0,'Data Tables'!O7,"")</f>
        <v/>
      </c>
      <c r="L44" s="263"/>
      <c r="M44" s="267"/>
      <c r="N44" s="233" t="s">
        <v>269</v>
      </c>
      <c r="O44" s="235" t="s">
        <v>413</v>
      </c>
      <c r="P44" s="252"/>
      <c r="Q44" s="49"/>
      <c r="R44" s="49"/>
      <c r="S44" s="49"/>
      <c r="T44" s="140" t="str">
        <f>E44</f>
        <v>Water</v>
      </c>
      <c r="U44" s="140"/>
      <c r="V44" s="140"/>
      <c r="W44" s="140"/>
      <c r="X44" s="140"/>
      <c r="Y44" s="233" t="s">
        <v>269</v>
      </c>
      <c r="Z44" s="49"/>
      <c r="AA44" s="279" t="str">
        <f>IF($Y$16="Yes",(IF(Y44="Yes",'Data Tables'!O7,0)),"")</f>
        <v/>
      </c>
      <c r="AB44" s="279" t="str">
        <f>IF($Y$16="Yes",(IF(Z44="Yes",'Data Tables'!P7,0)),"")</f>
        <v/>
      </c>
      <c r="AC44" s="306"/>
    </row>
    <row r="45" spans="2:29" ht="16.2" customHeight="1">
      <c r="B45" s="46"/>
      <c r="C45" s="42"/>
      <c r="D45" s="222"/>
      <c r="E45" s="49"/>
      <c r="F45" s="38"/>
      <c r="G45" s="49"/>
      <c r="H45" s="49"/>
      <c r="I45" s="49"/>
      <c r="J45" s="49"/>
      <c r="K45" s="263"/>
      <c r="L45" s="263"/>
      <c r="M45" s="263"/>
      <c r="N45" s="49"/>
      <c r="O45" s="241"/>
      <c r="P45" s="252"/>
      <c r="Q45" s="49"/>
      <c r="R45" s="49"/>
      <c r="S45" s="49"/>
      <c r="T45" s="49"/>
      <c r="U45" s="49"/>
      <c r="V45" s="49"/>
      <c r="W45" s="49"/>
      <c r="X45" s="49"/>
      <c r="Y45" s="140" t="s">
        <v>410</v>
      </c>
      <c r="Z45" s="140" t="s">
        <v>411</v>
      </c>
      <c r="AA45" s="49"/>
      <c r="AB45" s="49"/>
      <c r="AC45" s="306"/>
    </row>
    <row r="46" spans="2:29" ht="17.7" customHeight="1">
      <c r="B46" s="46"/>
      <c r="C46" s="42"/>
      <c r="D46" s="222"/>
      <c r="E46" s="275" t="s">
        <v>416</v>
      </c>
      <c r="F46" s="275"/>
      <c r="G46" s="275"/>
      <c r="H46" s="275"/>
      <c r="I46" s="275"/>
      <c r="J46" s="49"/>
      <c r="K46" s="267">
        <f>IF(K16="Yes",(IF(N22="Yes",K22,0)+IF(N27="Yes",K27,0)+IF(N28="Yes",K28,0)+IF(N29="Yes",K29,0)+IF(N30="Yes",K30,0)+IF(N31="Yes",K31,0)+IF(N32="Yes",K32,0)+IF(N33="Yes",K33,0)+IF(N34="Yes",K34,0)+IF(N35="Yes",K35,0)+IF(N36="Yes",K36,0)+IF(N37="Yes",K37,0)+IF(N38="Yes",K38,0)+IF(N39="Yes",K39,0)+IF(N40="Yes",K40,0)+IF(N41="Yes",K41,0)+IF(N42="Yes",K42,0)+IF(N43="Yes",K43,0)+IF(N44="Yes",K44,0))/COUNTIF(N22:N44,"Yes"),0)</f>
        <v>0</v>
      </c>
      <c r="L46" s="263"/>
      <c r="M46" s="267">
        <f>IF(K16="Yes",(IF(N22="Yes",M22,0)+IF(N27="Yes",M27,0)+IF(N28="Yes",M28,0)+IF(N29="Yes",M29,0)+IF(N30="Yes",M30,0)+IF(N31="Yes",M31,0)+IF(N32="Yes",M32,0)+IF(N33="Yes",M33,0)+IF(N34="Yes",M34,0)+IF(N35="Yes",M35,0)+IF(N36="Yes",M36,0)+IF(N37="Yes",M37,0)+IF(N38="Yes",M38,0)+IF(N39="Yes",M39,0)+IF(N40="Yes",M40,0)+IF(N41="Yes",M41,0)+IF(N42="Yes",M42,0)+IF(N43="Yes",M43,0)+IF(N44="Yes",M44,0))/COUNTIF(N22:N44,"Yes"),0)</f>
        <v>0</v>
      </c>
      <c r="N46" s="49"/>
      <c r="O46" s="241"/>
      <c r="P46" s="252"/>
      <c r="Q46" s="49"/>
      <c r="R46" s="49"/>
      <c r="S46" s="49"/>
      <c r="T46" s="275" t="s">
        <v>417</v>
      </c>
      <c r="U46" s="275"/>
      <c r="V46" s="275"/>
      <c r="W46" s="275"/>
      <c r="X46" s="275"/>
      <c r="Y46" s="287">
        <f>IF(Y16="Yes",SUM(AA27:AA44)/(COUNTIF(Y27:Y44,"Yes")),0)</f>
        <v>0</v>
      </c>
      <c r="Z46" s="287">
        <f>IF(Y16="Yes",SUM(AB27:AB44)/(COUNTIF(Y27:Y44,"Yes")),0)</f>
        <v>0</v>
      </c>
      <c r="AA46" s="221"/>
      <c r="AB46" s="221"/>
      <c r="AC46" s="306"/>
    </row>
    <row r="47" spans="2:29" ht="16.2" customHeight="1">
      <c r="B47" s="46"/>
      <c r="C47" s="42"/>
      <c r="D47" s="222"/>
      <c r="E47" s="275"/>
      <c r="F47" s="275"/>
      <c r="G47" s="275"/>
      <c r="H47" s="275"/>
      <c r="I47" s="275"/>
      <c r="J47" s="49"/>
      <c r="K47" s="263"/>
      <c r="L47" s="263"/>
      <c r="M47" s="263"/>
      <c r="N47" s="49"/>
      <c r="O47" s="241"/>
      <c r="P47" s="49"/>
      <c r="Q47" s="49"/>
      <c r="R47" s="49"/>
      <c r="S47" s="49"/>
      <c r="T47" s="275"/>
      <c r="U47" s="275"/>
      <c r="V47" s="275"/>
      <c r="W47" s="275"/>
      <c r="X47" s="275"/>
      <c r="Y47" s="309"/>
      <c r="Z47" s="49"/>
      <c r="AA47" s="309"/>
      <c r="AB47" s="309"/>
      <c r="AC47" s="306"/>
    </row>
    <row r="48" spans="2:29" ht="16.2" customHeight="1">
      <c r="B48" s="46"/>
      <c r="C48" s="42"/>
      <c r="D48" s="222"/>
      <c r="E48" s="49"/>
      <c r="F48" s="38"/>
      <c r="G48" s="49"/>
      <c r="H48" s="49"/>
      <c r="I48" s="49"/>
      <c r="J48" s="49"/>
      <c r="K48" s="263"/>
      <c r="L48" s="263"/>
      <c r="M48" s="263"/>
      <c r="N48" s="49"/>
      <c r="O48" s="241"/>
      <c r="P48" s="140" t="s">
        <v>410</v>
      </c>
      <c r="Q48" s="140"/>
      <c r="R48" s="140" t="s">
        <v>411</v>
      </c>
      <c r="S48" s="49"/>
      <c r="T48" s="49"/>
      <c r="U48" s="49"/>
      <c r="V48" s="49"/>
      <c r="W48" s="49"/>
      <c r="X48" s="49"/>
      <c r="Y48" s="49"/>
      <c r="Z48" s="49"/>
      <c r="AA48" s="49"/>
      <c r="AB48" s="49"/>
      <c r="AC48" s="306"/>
    </row>
    <row r="49" spans="2:29" ht="16.2" customHeight="1">
      <c r="B49" s="46"/>
      <c r="C49" s="42"/>
      <c r="D49" s="222"/>
      <c r="E49" s="49"/>
      <c r="F49" s="38"/>
      <c r="G49" s="49"/>
      <c r="H49" s="49"/>
      <c r="I49" s="275" t="s">
        <v>418</v>
      </c>
      <c r="J49" s="275"/>
      <c r="K49" s="275"/>
      <c r="L49" s="275"/>
      <c r="M49" s="275"/>
      <c r="N49" s="275"/>
      <c r="O49" s="275"/>
      <c r="P49" s="267" t="str">
        <f>IF(K46+Y46&gt;0,K46+Y46,"")</f>
        <v/>
      </c>
      <c r="Q49" s="263"/>
      <c r="R49" s="267" t="str">
        <f>IF(M46+Z46&gt;0,M46+Z46,"")</f>
        <v/>
      </c>
      <c r="S49" s="309"/>
      <c r="T49" s="49"/>
      <c r="U49" s="49"/>
      <c r="V49" s="49"/>
      <c r="W49" s="49"/>
      <c r="X49" s="49"/>
      <c r="Y49" s="49"/>
      <c r="Z49" s="49"/>
      <c r="AA49" s="49"/>
      <c r="AB49" s="49"/>
      <c r="AC49" s="306"/>
    </row>
    <row r="50" spans="2:29" ht="16.2" customHeight="1" thickBot="1">
      <c r="B50" s="46"/>
      <c r="C50" s="42"/>
      <c r="D50" s="310"/>
      <c r="E50" s="242"/>
      <c r="F50" s="242"/>
      <c r="G50" s="242"/>
      <c r="H50" s="242"/>
      <c r="I50" s="242"/>
      <c r="J50" s="242"/>
      <c r="K50" s="242"/>
      <c r="L50" s="242"/>
      <c r="M50" s="242"/>
      <c r="N50" s="242"/>
      <c r="O50" s="242"/>
      <c r="P50" s="242"/>
      <c r="Q50" s="242"/>
      <c r="R50" s="242"/>
      <c r="S50" s="49"/>
      <c r="T50" s="49"/>
      <c r="U50" s="49"/>
      <c r="V50" s="311"/>
      <c r="W50" s="311"/>
      <c r="X50" s="311"/>
      <c r="Y50" s="311"/>
      <c r="Z50" s="311"/>
      <c r="AA50" s="311"/>
      <c r="AB50" s="311"/>
      <c r="AC50" s="312"/>
    </row>
    <row r="51" spans="2:29" ht="11.7" customHeight="1">
      <c r="B51" s="46"/>
      <c r="C51" s="42"/>
      <c r="D51" s="49"/>
      <c r="E51" s="49"/>
      <c r="F51" s="49"/>
      <c r="G51" s="49"/>
      <c r="H51" s="49"/>
      <c r="I51" s="49"/>
      <c r="J51" s="49"/>
      <c r="K51" s="49"/>
      <c r="L51" s="49"/>
      <c r="M51" s="49"/>
      <c r="N51" s="49"/>
      <c r="O51" s="49"/>
      <c r="P51" s="49"/>
      <c r="Q51" s="49"/>
      <c r="R51" s="49"/>
      <c r="S51" s="49"/>
      <c r="T51" s="49"/>
      <c r="U51" s="313"/>
      <c r="V51" s="66"/>
      <c r="W51" s="66"/>
      <c r="X51" s="66"/>
      <c r="Y51" s="66"/>
      <c r="Z51" s="66"/>
      <c r="AA51" s="66"/>
      <c r="AB51" s="66"/>
      <c r="AC51" s="66"/>
    </row>
    <row r="52" spans="2:29" ht="12.6" customHeight="1">
      <c r="B52" s="46"/>
      <c r="C52" s="42"/>
      <c r="D52" s="49"/>
      <c r="E52" s="48" t="s">
        <v>331</v>
      </c>
      <c r="F52" s="138" t="s">
        <v>419</v>
      </c>
      <c r="G52" s="138"/>
      <c r="H52" s="138"/>
      <c r="I52" s="138"/>
      <c r="J52" s="138"/>
      <c r="K52" s="140" t="s">
        <v>240</v>
      </c>
      <c r="L52" s="140"/>
      <c r="M52" s="140" t="s">
        <v>240</v>
      </c>
      <c r="N52" s="140" t="s">
        <v>241</v>
      </c>
      <c r="O52" s="49"/>
      <c r="P52" s="49"/>
      <c r="Q52" s="49"/>
      <c r="R52" s="49"/>
      <c r="S52" s="49"/>
      <c r="T52" s="49"/>
      <c r="U52" s="313"/>
      <c r="V52" s="66"/>
      <c r="W52" s="66"/>
      <c r="X52" s="66"/>
      <c r="Y52" s="66"/>
      <c r="Z52" s="66"/>
      <c r="AA52" s="66"/>
      <c r="AB52" s="66"/>
      <c r="AC52" s="66"/>
    </row>
    <row r="53" spans="2:29" customHeight="1">
      <c r="B53" s="46"/>
      <c r="C53" s="42"/>
      <c r="D53" s="49"/>
      <c r="E53" s="49"/>
      <c r="F53" s="49"/>
      <c r="G53" s="49"/>
      <c r="H53" s="49"/>
      <c r="I53" s="49"/>
      <c r="J53" s="49"/>
      <c r="K53" s="140" t="s">
        <v>410</v>
      </c>
      <c r="L53" s="140"/>
      <c r="M53" s="140" t="s">
        <v>411</v>
      </c>
      <c r="N53" s="49"/>
      <c r="O53" s="49"/>
      <c r="P53" s="49"/>
      <c r="Q53" s="49"/>
      <c r="R53" s="49"/>
      <c r="S53" s="49"/>
      <c r="T53" s="49"/>
      <c r="U53" s="313"/>
      <c r="V53" s="66"/>
      <c r="W53" s="66"/>
      <c r="X53" s="66"/>
      <c r="Y53" s="66"/>
      <c r="Z53" s="66"/>
      <c r="AA53" s="66"/>
      <c r="AB53" s="66"/>
      <c r="AC53" s="66"/>
    </row>
    <row r="54" spans="2:29" customHeight="1">
      <c r="B54" s="46"/>
      <c r="C54" s="42"/>
      <c r="D54" s="49"/>
      <c r="E54" s="140" t="s">
        <v>420</v>
      </c>
      <c r="F54" s="140"/>
      <c r="G54" s="140"/>
      <c r="H54" s="140"/>
      <c r="I54" s="140"/>
      <c r="J54" s="49"/>
      <c r="K54" s="314" t="e">
        <f>(1/(((P49-(-IF(K62&gt;0,K62,8))))/$K$10))</f>
        <v>#VALUE!</v>
      </c>
      <c r="L54" s="315"/>
      <c r="M54" s="314" t="e">
        <f>(1/(((R49-(-IF(M62&gt;0,M62,930))))/$K$11))</f>
        <v>#VALUE!</v>
      </c>
      <c r="N54" s="235" t="s">
        <v>323</v>
      </c>
      <c r="O54" s="49"/>
      <c r="P54" s="49"/>
      <c r="Q54" s="49"/>
      <c r="R54" s="49"/>
      <c r="S54" s="49"/>
      <c r="T54" s="49"/>
      <c r="U54" s="313"/>
      <c r="V54" s="66"/>
      <c r="W54" s="66"/>
      <c r="X54" s="66"/>
      <c r="Y54" s="66"/>
      <c r="Z54" s="66"/>
      <c r="AA54" s="66"/>
      <c r="AB54" s="66"/>
      <c r="AC54" s="66"/>
    </row>
    <row r="55" spans="2:29" ht="14.7" customHeight="1">
      <c r="B55" s="46"/>
      <c r="C55" s="42"/>
      <c r="D55" s="49"/>
      <c r="E55" s="140" t="s">
        <v>421</v>
      </c>
      <c r="F55" s="140"/>
      <c r="G55" s="140"/>
      <c r="H55" s="140"/>
      <c r="I55" s="140"/>
      <c r="J55" s="49"/>
      <c r="K55" s="314"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15"/>
      <c r="M55" s="314"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35" t="s">
        <v>323</v>
      </c>
      <c r="O55" s="49"/>
      <c r="P55" s="49"/>
      <c r="Q55" s="49"/>
      <c r="R55" s="49"/>
      <c r="S55" s="49"/>
      <c r="T55" s="49"/>
      <c r="U55" s="313"/>
      <c r="V55" s="66"/>
      <c r="W55" s="66"/>
      <c r="X55" s="66"/>
      <c r="Y55" s="66"/>
      <c r="Z55" s="66"/>
      <c r="AA55" s="66"/>
      <c r="AB55" s="66"/>
      <c r="AC55" s="66"/>
    </row>
    <row r="56" spans="2:29" ht="14.7" customHeight="1">
      <c r="B56" s="46"/>
      <c r="C56" s="42"/>
      <c r="D56" s="49"/>
      <c r="E56" s="140" t="s">
        <v>79</v>
      </c>
      <c r="F56" s="140"/>
      <c r="G56" s="140"/>
      <c r="H56" s="140"/>
      <c r="I56" s="140"/>
      <c r="J56" s="140"/>
      <c r="K56" s="314" t="e">
        <f>(1/(($P$49-'Data Tables'!O7)/$K$10))</f>
        <v>#VALUE!</v>
      </c>
      <c r="L56" s="315"/>
      <c r="M56" s="314" t="e">
        <f>(1/(($R$49-'Data Tables'!P7)/$K$11))</f>
        <v>#VALUE!</v>
      </c>
      <c r="N56" s="235" t="s">
        <v>323</v>
      </c>
      <c r="O56" s="235"/>
      <c r="P56" s="258"/>
      <c r="Q56" s="258"/>
      <c r="R56" s="235"/>
      <c r="S56" s="235"/>
      <c r="T56" s="49"/>
      <c r="U56" s="313"/>
      <c r="V56" s="66"/>
      <c r="W56" s="66"/>
      <c r="X56" s="66"/>
      <c r="Y56" s="66"/>
      <c r="Z56" s="66"/>
      <c r="AA56" s="66"/>
      <c r="AB56" s="66"/>
      <c r="AC56" s="66"/>
    </row>
    <row r="57" spans="2:29" ht="14.7" customHeight="1">
      <c r="B57" s="46"/>
      <c r="C57" s="42"/>
      <c r="D57" s="49"/>
      <c r="E57" s="140" t="s">
        <v>75</v>
      </c>
      <c r="F57" s="140"/>
      <c r="G57" s="140"/>
      <c r="H57" s="140"/>
      <c r="I57" s="140"/>
      <c r="J57" s="140"/>
      <c r="K57" s="314" t="e">
        <f>(1/(($P$49-'Data Tables'!O5)/$K$10))</f>
        <v>#VALUE!</v>
      </c>
      <c r="L57" s="315"/>
      <c r="M57" s="314" t="e">
        <f>(1/(($R$49-'Data Tables'!P5)/$K$11))</f>
        <v>#VALUE!</v>
      </c>
      <c r="N57" s="235" t="s">
        <v>323</v>
      </c>
      <c r="O57" s="235"/>
      <c r="P57" s="258"/>
      <c r="Q57" s="258"/>
      <c r="R57" s="235"/>
      <c r="S57" s="235"/>
      <c r="T57" s="49"/>
      <c r="U57" s="313"/>
      <c r="V57" s="66"/>
      <c r="W57" s="66"/>
      <c r="X57" s="66"/>
      <c r="Y57" s="66"/>
      <c r="Z57" s="66"/>
      <c r="AA57" s="66"/>
      <c r="AB57" s="66"/>
      <c r="AC57" s="66"/>
    </row>
    <row r="58" spans="2:29" ht="14.7" customHeight="1">
      <c r="B58" s="46"/>
      <c r="C58" s="42"/>
      <c r="D58" s="49"/>
      <c r="E58" s="140" t="s">
        <v>422</v>
      </c>
      <c r="F58" s="140"/>
      <c r="G58" s="140"/>
      <c r="H58" s="140"/>
      <c r="I58" s="140"/>
      <c r="J58" s="140"/>
      <c r="K58" s="314" t="e">
        <f>(1/(($P$49-'Data Tables'!O6)/$K$10))</f>
        <v>#VALUE!</v>
      </c>
      <c r="L58" s="315"/>
      <c r="M58" s="314" t="e">
        <f>(1/(($R$49-'Data Tables'!P6)/$K$11))</f>
        <v>#VALUE!</v>
      </c>
      <c r="N58" s="235" t="s">
        <v>323</v>
      </c>
      <c r="O58" s="235"/>
      <c r="P58" s="258"/>
      <c r="Q58" s="258"/>
      <c r="R58" s="235"/>
      <c r="S58" s="235"/>
      <c r="T58" s="49"/>
      <c r="U58" s="313"/>
      <c r="V58" s="66"/>
      <c r="W58" s="66"/>
      <c r="X58" s="66"/>
      <c r="Y58" s="66"/>
      <c r="Z58" s="66"/>
      <c r="AA58" s="66"/>
      <c r="AB58" s="66"/>
      <c r="AC58" s="66"/>
    </row>
    <row r="59" spans="2:29" ht="14.7" customHeight="1">
      <c r="B59" s="46"/>
      <c r="C59" s="42"/>
      <c r="D59" s="49"/>
      <c r="E59" s="140" t="s">
        <v>423</v>
      </c>
      <c r="F59" s="140"/>
      <c r="G59" s="140"/>
      <c r="H59" s="140"/>
      <c r="I59" s="140"/>
      <c r="J59" s="140"/>
      <c r="K59" s="314" t="e">
        <f>(1/(($P$49-'Data Tables'!O4)/$K$10))</f>
        <v>#VALUE!</v>
      </c>
      <c r="L59" s="315"/>
      <c r="M59" s="314" t="e">
        <f>(1/(($R$49-'Data Tables'!P4)/$K$11))</f>
        <v>#VALUE!</v>
      </c>
      <c r="N59" s="235" t="s">
        <v>323</v>
      </c>
      <c r="O59" s="235"/>
      <c r="P59" s="258"/>
      <c r="Q59" s="258"/>
      <c r="R59" s="235"/>
      <c r="S59" s="235"/>
      <c r="T59" s="49"/>
      <c r="U59" s="313"/>
      <c r="V59" s="66"/>
      <c r="W59" s="66"/>
      <c r="X59" s="66"/>
      <c r="Y59" s="66"/>
      <c r="Z59" s="66"/>
      <c r="AA59" s="66"/>
      <c r="AB59" s="66"/>
      <c r="AC59" s="66"/>
    </row>
    <row r="60" spans="2:29" ht="7.5" customHeight="1">
      <c r="B60" s="46"/>
      <c r="C60" s="42"/>
      <c r="D60" s="49"/>
      <c r="E60" s="49"/>
      <c r="F60" s="49"/>
      <c r="G60" s="49"/>
      <c r="H60" s="49"/>
      <c r="I60" s="49"/>
      <c r="J60" s="49"/>
      <c r="K60" s="49"/>
      <c r="L60" s="49"/>
      <c r="M60" s="49"/>
      <c r="N60" s="49"/>
      <c r="O60" s="49"/>
      <c r="P60" s="49"/>
      <c r="Q60" s="49"/>
      <c r="R60" s="49"/>
      <c r="S60" s="49"/>
      <c r="T60" s="49"/>
      <c r="U60" s="313"/>
      <c r="V60" s="66"/>
      <c r="W60" s="66"/>
      <c r="X60" s="66"/>
      <c r="Y60" s="66"/>
      <c r="Z60" s="66"/>
      <c r="AA60" s="66"/>
      <c r="AB60" s="66"/>
      <c r="AC60" s="66"/>
    </row>
    <row r="61" spans="2:29" ht="16.2" customHeight="1">
      <c r="B61" s="46"/>
      <c r="C61" s="42"/>
      <c r="D61" s="49"/>
      <c r="E61" s="49"/>
      <c r="F61" s="138" t="s">
        <v>424</v>
      </c>
      <c r="G61" s="138"/>
      <c r="H61" s="138"/>
      <c r="I61" s="138"/>
      <c r="J61" s="138"/>
      <c r="K61" s="221"/>
      <c r="L61" s="221"/>
      <c r="M61" s="221"/>
      <c r="N61" s="49"/>
      <c r="O61" s="49"/>
      <c r="P61" s="49"/>
      <c r="Q61" s="49"/>
      <c r="R61" s="49"/>
      <c r="S61" s="49"/>
      <c r="T61" s="49"/>
      <c r="U61" s="313"/>
      <c r="V61" s="66"/>
      <c r="W61" s="66"/>
      <c r="X61" s="66"/>
      <c r="Y61" s="66"/>
      <c r="Z61" s="66"/>
      <c r="AA61" s="66"/>
      <c r="AB61" s="66"/>
      <c r="AC61" s="66"/>
    </row>
    <row r="62" spans="2:29" ht="18" customHeight="1">
      <c r="B62" s="46"/>
      <c r="C62" s="42"/>
      <c r="D62" s="49"/>
      <c r="E62" s="49"/>
      <c r="F62" s="49"/>
      <c r="G62" s="138" t="s">
        <v>425</v>
      </c>
      <c r="H62" s="138"/>
      <c r="I62" s="138"/>
      <c r="J62" s="138"/>
      <c r="K62" s="233"/>
      <c r="L62" s="234"/>
      <c r="M62" s="233"/>
      <c r="N62" s="235" t="s">
        <v>413</v>
      </c>
      <c r="O62" s="222"/>
      <c r="P62" s="49"/>
      <c r="Q62" s="49"/>
      <c r="R62" s="49"/>
      <c r="S62" s="49"/>
      <c r="T62" s="49"/>
      <c r="U62" s="313"/>
      <c r="V62" s="66"/>
      <c r="W62" s="66"/>
      <c r="X62" s="66"/>
      <c r="Y62" s="66"/>
      <c r="Z62" s="66"/>
      <c r="AA62" s="66"/>
      <c r="AB62" s="66"/>
      <c r="AC62" s="66"/>
    </row>
    <row r="63" spans="2:29" ht="60" customHeight="1">
      <c r="B63" s="46"/>
      <c r="C63" s="42"/>
      <c r="D63" s="49"/>
      <c r="E63" s="232" t="s">
        <v>426</v>
      </c>
      <c r="F63" s="232"/>
      <c r="G63" s="232"/>
      <c r="H63" s="232"/>
      <c r="I63" s="232"/>
      <c r="J63" s="232"/>
      <c r="K63" s="232"/>
      <c r="L63" s="232"/>
      <c r="M63" s="232"/>
      <c r="N63" s="232"/>
      <c r="O63" s="232"/>
      <c r="P63" s="232"/>
      <c r="Q63" s="232"/>
      <c r="R63" s="232"/>
      <c r="S63" s="232"/>
      <c r="T63" s="232"/>
      <c r="U63" s="313"/>
      <c r="V63" s="66"/>
      <c r="W63" s="66"/>
      <c r="X63" s="66"/>
      <c r="Y63" s="66"/>
      <c r="Z63" s="66"/>
      <c r="AA63" s="66"/>
      <c r="AB63" s="66"/>
      <c r="AC63" s="66"/>
    </row>
    <row r="64" spans="2:29" ht="14.7" customHeight="1">
      <c r="B64" s="46"/>
      <c r="C64" s="42"/>
      <c r="D64" s="49"/>
      <c r="E64" s="49"/>
      <c r="F64" s="49"/>
      <c r="G64" s="49"/>
      <c r="H64" s="49"/>
      <c r="I64" s="49"/>
      <c r="J64" s="49"/>
      <c r="K64" s="221"/>
      <c r="L64" s="221"/>
      <c r="M64" s="221"/>
      <c r="N64" s="49"/>
      <c r="O64" s="49"/>
      <c r="P64" s="221"/>
      <c r="Q64" s="221"/>
      <c r="R64" s="221"/>
      <c r="S64" s="49"/>
      <c r="T64" s="49"/>
      <c r="U64" s="313"/>
      <c r="V64" s="66"/>
      <c r="W64" s="66"/>
      <c r="X64" s="66"/>
      <c r="Y64" s="66"/>
      <c r="Z64" s="66"/>
      <c r="AA64" s="66"/>
      <c r="AB64" s="66"/>
      <c r="AC64" s="66"/>
    </row>
    <row r="65" spans="2:29" ht="10.2" customHeight="1">
      <c r="B65" s="46"/>
      <c r="C65" s="42"/>
      <c r="D65" s="49"/>
      <c r="E65" s="48" t="s">
        <v>297</v>
      </c>
      <c r="F65" s="49" t="s">
        <v>427</v>
      </c>
      <c r="G65" s="49"/>
      <c r="H65" s="49"/>
      <c r="I65" s="49"/>
      <c r="J65" s="49"/>
      <c r="K65" s="140" t="s">
        <v>240</v>
      </c>
      <c r="L65" s="140"/>
      <c r="M65" s="140" t="s">
        <v>240</v>
      </c>
      <c r="N65" s="140" t="s">
        <v>241</v>
      </c>
      <c r="O65" s="140"/>
      <c r="P65" s="140" t="s">
        <v>240</v>
      </c>
      <c r="Q65" s="140"/>
      <c r="R65" s="140" t="s">
        <v>241</v>
      </c>
      <c r="S65" s="140"/>
      <c r="T65" s="49"/>
      <c r="U65" s="313"/>
      <c r="V65" s="66"/>
      <c r="W65" s="66"/>
      <c r="X65" s="66"/>
      <c r="Y65" s="66"/>
      <c r="Z65" s="66"/>
      <c r="AA65" s="66"/>
      <c r="AB65" s="66"/>
      <c r="AC65" s="66"/>
    </row>
    <row r="66" spans="2:29" ht="13.5" customHeight="1">
      <c r="B66" s="46"/>
      <c r="C66" s="42"/>
      <c r="D66" s="49"/>
      <c r="E66" s="48"/>
      <c r="F66" s="49"/>
      <c r="G66" s="49"/>
      <c r="H66" s="49"/>
      <c r="I66" s="49"/>
      <c r="J66" s="49"/>
      <c r="K66" s="140" t="s">
        <v>410</v>
      </c>
      <c r="L66" s="140"/>
      <c r="M66" s="140" t="s">
        <v>411</v>
      </c>
      <c r="N66" s="49"/>
      <c r="O66" s="49"/>
      <c r="P66" s="140" t="s">
        <v>410</v>
      </c>
      <c r="Q66" s="140"/>
      <c r="R66" s="140" t="s">
        <v>411</v>
      </c>
      <c r="S66" s="140"/>
      <c r="T66" s="49"/>
      <c r="U66" s="313"/>
      <c r="V66" s="66"/>
      <c r="W66" s="316"/>
      <c r="X66" s="66"/>
      <c r="Y66" s="66"/>
      <c r="Z66" s="66"/>
      <c r="AA66" s="66"/>
      <c r="AB66" s="66"/>
      <c r="AC66" s="66"/>
    </row>
    <row r="67" spans="2:29" ht="19.2" customHeight="1">
      <c r="B67" s="46"/>
      <c r="C67" s="42"/>
      <c r="D67" s="49"/>
      <c r="E67" s="140" t="s">
        <v>420</v>
      </c>
      <c r="F67" s="140"/>
      <c r="G67" s="140"/>
      <c r="H67" s="140"/>
      <c r="I67" s="140"/>
      <c r="J67" s="140"/>
      <c r="K67" s="317"/>
      <c r="L67" s="271"/>
      <c r="M67" s="317"/>
      <c r="N67" s="235" t="s">
        <v>293</v>
      </c>
      <c r="O67" s="235"/>
      <c r="P67" s="314" t="str">
        <f>IF(K67&gt;0,(1/(($P$49-(-IF(K62&gt;0,K62,8)))/K67)),"0")</f>
        <v>0</v>
      </c>
      <c r="Q67" s="315"/>
      <c r="R67" s="314" t="str">
        <f>IF(M67&gt;0,(1/(($P$49-(-IF(M62&gt;0,M62,930)))/M67)),"0")</f>
        <v>0</v>
      </c>
      <c r="S67" s="235" t="s">
        <v>323</v>
      </c>
      <c r="T67" s="49"/>
      <c r="U67" s="313"/>
      <c r="V67" s="66"/>
      <c r="W67" s="316"/>
      <c r="X67" s="66"/>
      <c r="Y67" s="66"/>
      <c r="Z67" s="66"/>
      <c r="AA67" s="66"/>
      <c r="AB67" s="66"/>
      <c r="AC67" s="66"/>
    </row>
    <row r="68" spans="2:29" ht="22.5" customHeight="1">
      <c r="B68" s="46"/>
      <c r="C68" s="42"/>
      <c r="D68" s="49"/>
      <c r="E68" s="140" t="s">
        <v>421</v>
      </c>
      <c r="F68" s="140"/>
      <c r="G68" s="140"/>
      <c r="H68" s="140"/>
      <c r="I68" s="140"/>
      <c r="J68" s="140"/>
      <c r="K68" s="317"/>
      <c r="L68" s="271"/>
      <c r="M68" s="317"/>
      <c r="N68" s="235" t="s">
        <v>293</v>
      </c>
      <c r="O68" s="235"/>
      <c r="P68" s="314"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15"/>
      <c r="R68" s="314"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35" t="s">
        <v>323</v>
      </c>
      <c r="T68" s="49"/>
      <c r="U68" s="313"/>
      <c r="V68" s="66"/>
      <c r="W68" s="66"/>
      <c r="X68" s="66"/>
      <c r="Y68" s="66"/>
      <c r="Z68" s="66"/>
      <c r="AA68" s="66"/>
      <c r="AB68" s="66"/>
      <c r="AC68" s="66"/>
    </row>
    <row r="69" spans="2:29" ht="13.5" customHeight="1">
      <c r="B69" s="46"/>
      <c r="C69" s="42"/>
      <c r="D69" s="49"/>
      <c r="E69" s="140" t="s">
        <v>79</v>
      </c>
      <c r="F69" s="140"/>
      <c r="G69" s="140"/>
      <c r="H69" s="140"/>
      <c r="I69" s="140"/>
      <c r="J69" s="140"/>
      <c r="K69" s="317"/>
      <c r="L69" s="271"/>
      <c r="M69" s="317"/>
      <c r="N69" s="235" t="s">
        <v>293</v>
      </c>
      <c r="O69" s="235"/>
      <c r="P69" s="314" t="str">
        <f>IF(K69&gt;0,(1/(($P$49-'Data Tables'!O7)/K69)),"0")</f>
        <v>0</v>
      </c>
      <c r="Q69" s="315"/>
      <c r="R69" s="314" t="str">
        <f>IF(M69&gt;0,(1/(($R$49-'Data Tables'!P7)/M69)),"0")</f>
        <v>0</v>
      </c>
      <c r="S69" s="235" t="s">
        <v>323</v>
      </c>
      <c r="T69" s="49"/>
      <c r="U69" s="313"/>
      <c r="V69" s="66"/>
      <c r="W69" s="316"/>
      <c r="X69" s="66"/>
      <c r="Y69" s="66"/>
      <c r="Z69" s="66"/>
      <c r="AA69" s="66"/>
      <c r="AB69" s="66"/>
      <c r="AC69" s="66"/>
    </row>
    <row r="70" spans="2:29" ht="16.5" customHeight="1">
      <c r="B70" s="46"/>
      <c r="C70" s="42"/>
      <c r="D70" s="49"/>
      <c r="E70" s="140" t="s">
        <v>75</v>
      </c>
      <c r="F70" s="140"/>
      <c r="G70" s="140"/>
      <c r="H70" s="140"/>
      <c r="I70" s="140"/>
      <c r="J70" s="140"/>
      <c r="K70" s="317"/>
      <c r="L70" s="271"/>
      <c r="M70" s="317"/>
      <c r="N70" s="235" t="s">
        <v>293</v>
      </c>
      <c r="O70" s="235"/>
      <c r="P70" s="314" t="str">
        <f>IF(K70&gt;0,(1/(($P$49-'Data Tables'!O5)/K70)),"0")</f>
        <v>0</v>
      </c>
      <c r="Q70" s="315"/>
      <c r="R70" s="314" t="str">
        <f>IF(M70&gt;0,(1/(($P$49-'Data Tables'!P5)/M70)),"0")</f>
        <v>0</v>
      </c>
      <c r="S70" s="235" t="s">
        <v>323</v>
      </c>
      <c r="T70" s="49"/>
      <c r="U70" s="313"/>
      <c r="V70" s="66"/>
      <c r="W70" s="66"/>
      <c r="X70" s="66"/>
      <c r="Y70" s="66"/>
      <c r="Z70" s="66"/>
      <c r="AA70" s="66"/>
      <c r="AB70" s="66"/>
      <c r="AC70" s="66"/>
    </row>
    <row r="71" spans="2:29" ht="16.5" customHeight="1">
      <c r="B71" s="46"/>
      <c r="C71" s="42"/>
      <c r="D71" s="49"/>
      <c r="E71" s="140" t="s">
        <v>422</v>
      </c>
      <c r="F71" s="140"/>
      <c r="G71" s="140"/>
      <c r="H71" s="140"/>
      <c r="I71" s="140"/>
      <c r="J71" s="140"/>
      <c r="K71" s="317"/>
      <c r="L71" s="271"/>
      <c r="M71" s="317"/>
      <c r="N71" s="235" t="s">
        <v>293</v>
      </c>
      <c r="O71" s="235"/>
      <c r="P71" s="314" t="str">
        <f>IF(K71&gt;0,(1/(($P$49-'Data Tables'!O6)/K71)),"0")</f>
        <v>0</v>
      </c>
      <c r="Q71" s="315"/>
      <c r="R71" s="314" t="str">
        <f>IF(M71&gt;0,(1/(($R$49-'Data Tables'!P6)/M71)),"0")</f>
        <v>0</v>
      </c>
      <c r="S71" s="235" t="s">
        <v>323</v>
      </c>
      <c r="T71" s="49"/>
      <c r="U71" s="313"/>
      <c r="V71" s="66"/>
      <c r="W71" s="66"/>
      <c r="X71" s="66"/>
      <c r="Y71" s="66"/>
      <c r="Z71" s="66"/>
      <c r="AA71" s="66"/>
      <c r="AB71" s="66"/>
      <c r="AC71" s="66"/>
    </row>
    <row r="72" spans="2:29" ht="16.5" customHeight="1">
      <c r="B72" s="46"/>
      <c r="C72" s="42"/>
      <c r="D72" s="49"/>
      <c r="E72" s="140" t="s">
        <v>423</v>
      </c>
      <c r="F72" s="140"/>
      <c r="G72" s="140"/>
      <c r="H72" s="140"/>
      <c r="I72" s="140"/>
      <c r="J72" s="140"/>
      <c r="K72" s="317"/>
      <c r="L72" s="271"/>
      <c r="M72" s="317"/>
      <c r="N72" s="235" t="s">
        <v>293</v>
      </c>
      <c r="O72" s="235"/>
      <c r="P72" s="314" t="str">
        <f>IF(K72&gt;0,(1/(($P$49-'Data Tables'!O4)/K72)),"0")</f>
        <v>0</v>
      </c>
      <c r="Q72" s="315"/>
      <c r="R72" s="314" t="str">
        <f>IF(M72&gt;0,(1/(($R$49-'Data Tables'!P4)/M72)),"0")</f>
        <v>0</v>
      </c>
      <c r="S72" s="235" t="s">
        <v>323</v>
      </c>
      <c r="T72" s="49"/>
      <c r="U72" s="313"/>
      <c r="V72" s="66"/>
      <c r="W72" s="66"/>
      <c r="X72" s="66"/>
      <c r="Y72" s="66"/>
      <c r="Z72" s="66"/>
      <c r="AA72" s="66"/>
      <c r="AB72" s="66"/>
      <c r="AC72" s="66"/>
    </row>
    <row r="73" spans="2:29" ht="22.2" customHeight="1">
      <c r="B73" s="46"/>
      <c r="C73" s="42"/>
      <c r="D73" s="49"/>
      <c r="E73" s="49"/>
      <c r="F73" s="49"/>
      <c r="G73" s="49"/>
      <c r="H73" s="49"/>
      <c r="I73" s="49"/>
      <c r="J73" s="49"/>
      <c r="K73" s="49"/>
      <c r="L73" s="49"/>
      <c r="M73" s="49"/>
      <c r="N73" s="235"/>
      <c r="O73" s="235"/>
      <c r="P73" s="318"/>
      <c r="Q73" s="318"/>
      <c r="R73" s="235"/>
      <c r="S73" s="235"/>
      <c r="T73" s="49"/>
      <c r="U73" s="313"/>
      <c r="V73" s="66"/>
      <c r="W73" s="66"/>
      <c r="X73" s="66"/>
      <c r="Y73" s="66"/>
      <c r="Z73" s="66"/>
      <c r="AA73" s="66"/>
      <c r="AB73" s="66"/>
      <c r="AC73" s="66"/>
    </row>
    <row r="74" spans="2:29" ht="15.6" customHeight="1">
      <c r="B74" s="46"/>
      <c r="C74" s="42"/>
      <c r="D74" s="49"/>
      <c r="E74" s="49"/>
      <c r="F74" s="142" t="s">
        <v>428</v>
      </c>
      <c r="G74" s="142"/>
      <c r="H74" s="142"/>
      <c r="I74" s="142"/>
      <c r="J74" s="49"/>
      <c r="K74" s="267">
        <f>K10-(SUM(K67:K72))</f>
        <v>0</v>
      </c>
      <c r="L74" s="263"/>
      <c r="M74" s="267">
        <f>K11-(SUM(M67:M72))</f>
        <v>0</v>
      </c>
      <c r="N74" s="241" t="s">
        <v>302</v>
      </c>
      <c r="O74" s="241"/>
      <c r="P74" s="284">
        <f>SUM(P67:P72)</f>
        <v>0</v>
      </c>
      <c r="Q74" s="319"/>
      <c r="R74" s="284">
        <f>SUM(R67:R72)</f>
        <v>0</v>
      </c>
      <c r="S74" s="241" t="s">
        <v>323</v>
      </c>
      <c r="T74" s="49"/>
      <c r="U74" s="313"/>
      <c r="V74" s="66"/>
      <c r="W74" s="66"/>
      <c r="X74" s="66"/>
      <c r="Y74" s="66"/>
      <c r="Z74" s="66"/>
      <c r="AA74" s="66"/>
      <c r="AB74" s="66"/>
      <c r="AC74" s="66"/>
    </row>
    <row r="75" spans="2:29" ht="18" customHeight="1">
      <c r="B75" s="46"/>
      <c r="C75" s="42"/>
      <c r="D75" s="49"/>
      <c r="E75" s="49"/>
      <c r="F75" s="49"/>
      <c r="G75" s="49"/>
      <c r="H75" s="49"/>
      <c r="I75" s="49"/>
      <c r="J75" s="49"/>
      <c r="K75" s="49"/>
      <c r="L75" s="49"/>
      <c r="M75" s="49"/>
      <c r="N75" s="49"/>
      <c r="O75" s="49"/>
      <c r="P75" s="49"/>
      <c r="Q75" s="49"/>
      <c r="R75" s="49"/>
      <c r="S75" s="49"/>
      <c r="T75" s="49"/>
      <c r="U75" s="313"/>
      <c r="V75" s="66"/>
      <c r="W75" s="66"/>
      <c r="X75" s="66"/>
      <c r="Y75" s="66"/>
      <c r="Z75" s="66"/>
      <c r="AA75" s="66"/>
      <c r="AB75" s="66"/>
      <c r="AC75" s="66"/>
    </row>
    <row r="76" spans="2:29" ht="64.5" customHeight="1">
      <c r="B76" s="46"/>
      <c r="C76" s="42"/>
      <c r="D76" s="49"/>
      <c r="E76" s="232" t="s">
        <v>429</v>
      </c>
      <c r="F76" s="232"/>
      <c r="G76" s="232"/>
      <c r="H76" s="232"/>
      <c r="I76" s="232"/>
      <c r="J76" s="232"/>
      <c r="K76" s="232"/>
      <c r="L76" s="232"/>
      <c r="M76" s="232"/>
      <c r="N76" s="232"/>
      <c r="O76" s="232"/>
      <c r="P76" s="232"/>
      <c r="Q76" s="232"/>
      <c r="R76" s="232"/>
      <c r="S76" s="232"/>
      <c r="T76" s="232"/>
      <c r="U76" s="313"/>
      <c r="V76" s="66"/>
      <c r="W76" s="66"/>
      <c r="X76" s="66"/>
      <c r="Y76" s="66"/>
      <c r="Z76" s="66"/>
      <c r="AA76" s="66"/>
      <c r="AB76" s="66"/>
      <c r="AC76" s="66"/>
    </row>
    <row r="77" spans="2:29" ht="15.6">
      <c r="B77" s="46"/>
      <c r="C77" s="42"/>
      <c r="D77" s="49"/>
      <c r="E77" s="49"/>
      <c r="F77" s="49"/>
      <c r="G77" s="49"/>
      <c r="H77" s="49"/>
      <c r="I77" s="49"/>
      <c r="J77" s="49"/>
      <c r="K77" s="49"/>
      <c r="L77" s="49"/>
      <c r="M77" s="49"/>
      <c r="N77" s="49"/>
      <c r="O77" s="49"/>
      <c r="P77" s="49"/>
      <c r="Q77" s="49"/>
      <c r="R77" s="49"/>
      <c r="S77" s="49"/>
      <c r="T77" s="49"/>
      <c r="U77" s="313"/>
      <c r="V77" s="66"/>
      <c r="W77" s="66"/>
      <c r="X77" s="66"/>
      <c r="Y77" s="66"/>
      <c r="Z77" s="66"/>
      <c r="AA77" s="66"/>
      <c r="AB77" s="66"/>
      <c r="AC77" s="66"/>
    </row>
    <row r="78" spans="2:29" ht="15.6">
      <c r="B78" s="46"/>
      <c r="C78" s="42"/>
      <c r="D78" s="49"/>
      <c r="E78" s="48" t="s">
        <v>384</v>
      </c>
      <c r="F78" s="49" t="s">
        <v>427</v>
      </c>
      <c r="G78" s="49"/>
      <c r="H78" s="49"/>
      <c r="I78" s="49"/>
      <c r="J78" s="49"/>
      <c r="K78" s="140" t="s">
        <v>240</v>
      </c>
      <c r="L78" s="140"/>
      <c r="M78" s="140" t="s">
        <v>240</v>
      </c>
      <c r="N78" s="140" t="s">
        <v>241</v>
      </c>
      <c r="O78" s="140"/>
      <c r="P78" s="140" t="s">
        <v>240</v>
      </c>
      <c r="Q78" s="140"/>
      <c r="R78" s="140" t="s">
        <v>241</v>
      </c>
      <c r="S78" s="140"/>
      <c r="T78" s="49"/>
      <c r="U78" s="313"/>
      <c r="V78" s="66"/>
      <c r="W78" s="66"/>
      <c r="X78" s="66"/>
      <c r="Y78" s="66"/>
      <c r="Z78" s="66"/>
      <c r="AA78" s="66"/>
      <c r="AB78" s="66"/>
      <c r="AC78" s="66"/>
    </row>
    <row r="79" spans="2:29" ht="15.6">
      <c r="B79" s="46"/>
      <c r="C79" s="42"/>
      <c r="D79" s="49"/>
      <c r="E79" s="48"/>
      <c r="F79" s="49"/>
      <c r="G79" s="49"/>
      <c r="H79" s="49"/>
      <c r="I79" s="49"/>
      <c r="J79" s="49"/>
      <c r="K79" s="140" t="s">
        <v>410</v>
      </c>
      <c r="L79" s="140"/>
      <c r="M79" s="140" t="s">
        <v>411</v>
      </c>
      <c r="N79" s="49"/>
      <c r="O79" s="49"/>
      <c r="P79" s="140" t="s">
        <v>410</v>
      </c>
      <c r="Q79" s="140"/>
      <c r="R79" s="140" t="s">
        <v>411</v>
      </c>
      <c r="S79" s="140"/>
      <c r="T79" s="49"/>
      <c r="U79" s="313"/>
      <c r="V79" s="66"/>
      <c r="W79" s="66"/>
      <c r="X79" s="66"/>
      <c r="Y79" s="66"/>
      <c r="Z79" s="66"/>
      <c r="AA79" s="66"/>
      <c r="AB79" s="66"/>
      <c r="AC79" s="66"/>
    </row>
    <row r="80" spans="2:29" ht="15.6">
      <c r="B80" s="46"/>
      <c r="C80" s="42"/>
      <c r="D80" s="49"/>
      <c r="E80" s="140" t="s">
        <v>420</v>
      </c>
      <c r="F80" s="140"/>
      <c r="G80" s="140"/>
      <c r="H80" s="140"/>
      <c r="I80" s="140"/>
      <c r="J80" s="140"/>
      <c r="K80" s="276"/>
      <c r="L80" s="320"/>
      <c r="M80" s="276"/>
      <c r="N80" s="235" t="s">
        <v>430</v>
      </c>
      <c r="O80" s="235"/>
      <c r="P80" s="262" t="e">
        <f>K80*($P$49-(-IF(K62&gt;0,K62,8)))</f>
        <v>#VALUE!</v>
      </c>
      <c r="Q80" s="258"/>
      <c r="R80" s="262" t="e">
        <f>M80*($R$49-(-IF(M62&gt;0,M62,930)))</f>
        <v>#VALUE!</v>
      </c>
      <c r="S80" s="235" t="s">
        <v>293</v>
      </c>
      <c r="T80" s="49"/>
      <c r="U80" s="313"/>
      <c r="V80" s="66"/>
      <c r="W80" s="66"/>
      <c r="X80" s="66"/>
      <c r="Y80" s="66"/>
      <c r="Z80" s="66"/>
      <c r="AA80" s="66"/>
      <c r="AB80" s="66"/>
      <c r="AC80" s="66"/>
    </row>
    <row r="81" spans="2:29" ht="15.6">
      <c r="B81" s="46"/>
      <c r="C81" s="42"/>
      <c r="D81" s="49"/>
      <c r="E81" s="140" t="s">
        <v>421</v>
      </c>
      <c r="F81" s="140"/>
      <c r="G81" s="140"/>
      <c r="H81" s="140"/>
      <c r="I81" s="140"/>
      <c r="J81" s="140"/>
      <c r="K81" s="276"/>
      <c r="L81" s="320"/>
      <c r="M81" s="276"/>
      <c r="N81" s="235" t="s">
        <v>430</v>
      </c>
      <c r="O81" s="235"/>
      <c r="P81" s="262"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58"/>
      <c r="R81" s="262"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35" t="s">
        <v>293</v>
      </c>
      <c r="T81" s="49"/>
      <c r="U81" s="313"/>
      <c r="V81" s="66"/>
      <c r="W81" s="66"/>
      <c r="X81" s="66"/>
      <c r="Y81" s="66"/>
      <c r="Z81" s="66"/>
      <c r="AA81" s="66"/>
      <c r="AB81" s="66"/>
      <c r="AC81" s="66"/>
    </row>
    <row r="82" spans="2:29" ht="15.6">
      <c r="B82" s="46"/>
      <c r="C82" s="42"/>
      <c r="D82" s="49"/>
      <c r="E82" s="140" t="s">
        <v>79</v>
      </c>
      <c r="F82" s="140"/>
      <c r="G82" s="140"/>
      <c r="H82" s="140"/>
      <c r="I82" s="140"/>
      <c r="J82" s="140"/>
      <c r="K82" s="276"/>
      <c r="L82" s="320"/>
      <c r="M82" s="276"/>
      <c r="N82" s="235" t="s">
        <v>430</v>
      </c>
      <c r="O82" s="235"/>
      <c r="P82" s="262" t="e">
        <f>K82*($P$49-'Data Tables'!O7)</f>
        <v>#VALUE!</v>
      </c>
      <c r="Q82" s="258"/>
      <c r="R82" s="262" t="e">
        <f>M82*($R$49-'Data Tables'!P7)</f>
        <v>#VALUE!</v>
      </c>
      <c r="S82" s="235" t="s">
        <v>293</v>
      </c>
      <c r="T82" s="49"/>
      <c r="U82" s="313"/>
      <c r="V82" s="66"/>
      <c r="W82" s="66"/>
      <c r="X82" s="66"/>
      <c r="Y82" s="66"/>
      <c r="Z82" s="66"/>
      <c r="AA82" s="66"/>
      <c r="AB82" s="66"/>
      <c r="AC82" s="66"/>
    </row>
    <row r="83" spans="2:29" ht="15.6">
      <c r="B83" s="46"/>
      <c r="C83" s="42"/>
      <c r="D83" s="49"/>
      <c r="E83" s="140" t="s">
        <v>75</v>
      </c>
      <c r="F83" s="140"/>
      <c r="G83" s="140"/>
      <c r="H83" s="140"/>
      <c r="I83" s="140"/>
      <c r="J83" s="140"/>
      <c r="K83" s="276"/>
      <c r="L83" s="320"/>
      <c r="M83" s="276"/>
      <c r="N83" s="235" t="s">
        <v>430</v>
      </c>
      <c r="O83" s="235"/>
      <c r="P83" s="262" t="e">
        <f>K83*($P$49-'Data Tables'!O5)</f>
        <v>#VALUE!</v>
      </c>
      <c r="Q83" s="258"/>
      <c r="R83" s="262" t="e">
        <f>M83*($R$49-'Data Tables'!P5)</f>
        <v>#VALUE!</v>
      </c>
      <c r="S83" s="235" t="s">
        <v>293</v>
      </c>
      <c r="T83" s="49"/>
      <c r="U83" s="313"/>
      <c r="V83" s="66"/>
      <c r="W83" s="66"/>
      <c r="X83" s="66"/>
      <c r="Y83" s="66"/>
      <c r="Z83" s="66"/>
      <c r="AA83" s="66"/>
      <c r="AB83" s="66"/>
      <c r="AC83" s="66"/>
    </row>
    <row r="84" spans="2:29" ht="15.6">
      <c r="B84" s="46"/>
      <c r="C84" s="42"/>
      <c r="D84" s="49"/>
      <c r="E84" s="140" t="s">
        <v>422</v>
      </c>
      <c r="F84" s="140"/>
      <c r="G84" s="140"/>
      <c r="H84" s="140"/>
      <c r="I84" s="140"/>
      <c r="J84" s="140"/>
      <c r="K84" s="276"/>
      <c r="L84" s="320"/>
      <c r="M84" s="276"/>
      <c r="N84" s="235" t="s">
        <v>430</v>
      </c>
      <c r="O84" s="235"/>
      <c r="P84" s="262" t="e">
        <f>K84*($P$49-'Data Tables'!O6)</f>
        <v>#VALUE!</v>
      </c>
      <c r="Q84" s="258"/>
      <c r="R84" s="262" t="e">
        <f>M84*($R$49-'Data Tables'!P6)</f>
        <v>#VALUE!</v>
      </c>
      <c r="S84" s="235" t="s">
        <v>293</v>
      </c>
      <c r="T84" s="49"/>
      <c r="U84" s="313"/>
      <c r="V84" s="66"/>
      <c r="W84" s="66"/>
      <c r="X84" s="66"/>
      <c r="Y84" s="66"/>
      <c r="Z84" s="66"/>
      <c r="AA84" s="66"/>
      <c r="AB84" s="66"/>
      <c r="AC84" s="66"/>
    </row>
    <row r="85" spans="2:29" ht="15.6">
      <c r="B85" s="46"/>
      <c r="C85" s="42"/>
      <c r="D85" s="49"/>
      <c r="E85" s="140" t="s">
        <v>423</v>
      </c>
      <c r="F85" s="140"/>
      <c r="G85" s="140"/>
      <c r="H85" s="140"/>
      <c r="I85" s="140"/>
      <c r="J85" s="140"/>
      <c r="K85" s="276"/>
      <c r="L85" s="320"/>
      <c r="M85" s="276"/>
      <c r="N85" s="235" t="s">
        <v>430</v>
      </c>
      <c r="O85" s="235"/>
      <c r="P85" s="262" t="e">
        <f>K85*($P$49-'Data Tables'!O4)</f>
        <v>#VALUE!</v>
      </c>
      <c r="Q85" s="258"/>
      <c r="R85" s="262" t="e">
        <f>M85*($R$49-'Data Tables'!P4)</f>
        <v>#VALUE!</v>
      </c>
      <c r="S85" s="235" t="s">
        <v>293</v>
      </c>
      <c r="T85" s="49"/>
      <c r="U85" s="313"/>
      <c r="V85" s="66"/>
      <c r="W85" s="66"/>
      <c r="X85" s="66"/>
      <c r="Y85" s="66"/>
      <c r="Z85" s="66"/>
      <c r="AA85" s="66"/>
      <c r="AB85" s="66"/>
      <c r="AC85" s="66"/>
    </row>
    <row r="86" spans="2:29" ht="30" customHeight="1">
      <c r="B86" s="46"/>
      <c r="C86" s="42"/>
      <c r="D86" s="49"/>
      <c r="E86" s="49"/>
      <c r="F86" s="49"/>
      <c r="G86" s="49"/>
      <c r="H86" s="49"/>
      <c r="I86" s="49"/>
      <c r="J86" s="49"/>
      <c r="K86" s="321"/>
      <c r="L86" s="321"/>
      <c r="M86" s="321"/>
      <c r="N86" s="235"/>
      <c r="O86" s="235"/>
      <c r="P86" s="235"/>
      <c r="Q86" s="235"/>
      <c r="R86" s="235"/>
      <c r="S86" s="235"/>
      <c r="T86" s="49"/>
      <c r="U86" s="313"/>
      <c r="V86" s="66"/>
      <c r="W86" s="66"/>
      <c r="X86" s="66"/>
      <c r="Y86" s="66"/>
      <c r="Z86" s="66"/>
      <c r="AA86" s="66"/>
      <c r="AB86" s="66"/>
      <c r="AC86" s="66"/>
    </row>
    <row r="87" spans="2:29" ht="29.7" customHeight="1">
      <c r="B87" s="46"/>
      <c r="C87" s="42"/>
      <c r="D87" s="49"/>
      <c r="E87" s="49"/>
      <c r="F87" s="142" t="s">
        <v>428</v>
      </c>
      <c r="G87" s="142"/>
      <c r="H87" s="142"/>
      <c r="I87" s="142"/>
      <c r="J87" s="49"/>
      <c r="K87" s="284">
        <f>(SUM(K80:K85))</f>
        <v>0</v>
      </c>
      <c r="L87" s="319"/>
      <c r="M87" s="284">
        <f>(SUM(M80:M85))</f>
        <v>0</v>
      </c>
      <c r="N87" s="241" t="s">
        <v>430</v>
      </c>
      <c r="O87" s="241"/>
      <c r="P87" s="267" t="e">
        <f>K10-(SUM(P80:P85))</f>
        <v>#VALUE!</v>
      </c>
      <c r="Q87" s="263"/>
      <c r="R87" s="267" t="e">
        <f>K11-(SUM(R80:R85))</f>
        <v>#VALUE!</v>
      </c>
      <c r="S87" s="241" t="s">
        <v>302</v>
      </c>
      <c r="T87" s="49"/>
      <c r="U87" s="313"/>
      <c r="V87" s="66"/>
      <c r="W87" s="66"/>
      <c r="X87" s="66"/>
      <c r="Y87" s="66"/>
      <c r="Z87" s="66"/>
      <c r="AA87" s="66"/>
      <c r="AB87" s="66"/>
      <c r="AC87" s="66"/>
    </row>
    <row r="88" spans="2:29" ht="15" customHeight="1">
      <c r="B88" s="46"/>
      <c r="C88" s="42"/>
      <c r="D88" s="49"/>
      <c r="E88" s="49"/>
      <c r="F88" s="49"/>
      <c r="G88" s="49"/>
      <c r="H88" s="49"/>
      <c r="I88" s="49"/>
      <c r="J88" s="49"/>
      <c r="K88" s="49"/>
      <c r="L88" s="49"/>
      <c r="M88" s="49"/>
      <c r="N88" s="49"/>
      <c r="O88" s="49"/>
      <c r="P88" s="49"/>
      <c r="Q88" s="49"/>
      <c r="R88" s="49"/>
      <c r="S88" s="49"/>
      <c r="T88" s="49"/>
      <c r="U88" s="313"/>
      <c r="V88" s="66"/>
      <c r="W88" s="66"/>
      <c r="X88" s="66"/>
      <c r="Y88" s="66"/>
      <c r="Z88" s="66"/>
      <c r="AA88" s="66"/>
      <c r="AB88" s="66"/>
      <c r="AC88" s="66"/>
    </row>
    <row r="89" spans="2:29" ht="45.6" customHeight="1" thickBot="1">
      <c r="B89" s="50"/>
      <c r="C89" s="51"/>
      <c r="D89" s="311"/>
      <c r="E89" s="326" t="s">
        <v>431</v>
      </c>
      <c r="F89" s="326"/>
      <c r="G89" s="326"/>
      <c r="H89" s="326"/>
      <c r="I89" s="326"/>
      <c r="J89" s="326"/>
      <c r="K89" s="326"/>
      <c r="L89" s="326"/>
      <c r="M89" s="326"/>
      <c r="N89" s="326"/>
      <c r="O89" s="326"/>
      <c r="P89" s="326"/>
      <c r="Q89" s="326"/>
      <c r="R89" s="326"/>
      <c r="S89" s="326"/>
      <c r="T89" s="326"/>
      <c r="U89" s="322"/>
      <c r="V89" s="66"/>
      <c r="W89" s="66"/>
      <c r="X89" s="66"/>
      <c r="Y89" s="66"/>
      <c r="Z89" s="66"/>
      <c r="AA89" s="66"/>
      <c r="AB89" s="66"/>
      <c r="AC89" s="66"/>
    </row>
    <row r="90" spans="2:29" ht="18" customHeight="1">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row r="92"/>
    <row r="93"/>
    <row r="94"/>
    <row r="95"/>
    <row r="96"/>
    <row r="97"/>
    <row r="98"/>
  </sheetData>
  <sheetProtection algorithmName="SHA-512" hashValue="Cg/+DG+rkf1UVZsoaMdsSLDCdj/fXsaeeLwSskWvjv0u7/KeG8Q0qD+H4LC1otvlYvN4QgSakg8dNEJ5n5878g==" saltValue="mr1n7Rh/AfbNyvTfgvuXww==" spinCount="100000" sheet="1" selectLockedCells="1"/>
  <mergeCells count="83">
    <mergeCell ref="E85:I85"/>
    <mergeCell ref="F87:I87"/>
    <mergeCell ref="E89:T89"/>
    <mergeCell ref="E76:T76"/>
    <mergeCell ref="E80:I80"/>
    <mergeCell ref="E81:I81"/>
    <mergeCell ref="E82:I82"/>
    <mergeCell ref="E83:I83"/>
    <mergeCell ref="E84:I84"/>
    <mergeCell ref="F74:I74"/>
    <mergeCell ref="E58:I58"/>
    <mergeCell ref="E59:I59"/>
    <mergeCell ref="F61:J61"/>
    <mergeCell ref="G62:J62"/>
    <mergeCell ref="E63:T63"/>
    <mergeCell ref="E67:I67"/>
    <mergeCell ref="E68:I68"/>
    <mergeCell ref="E69:I69"/>
    <mergeCell ref="E70:I70"/>
    <mergeCell ref="E71:I71"/>
    <mergeCell ref="E72:I72"/>
    <mergeCell ref="E57:I57"/>
    <mergeCell ref="E43:I43"/>
    <mergeCell ref="T43:X43"/>
    <mergeCell ref="E44:I44"/>
    <mergeCell ref="T44:X44"/>
    <mergeCell ref="E46:I46"/>
    <mergeCell ref="T46:X46"/>
    <mergeCell ref="I49:O49"/>
    <mergeCell ref="F52:J52"/>
    <mergeCell ref="E54:I54"/>
    <mergeCell ref="E55:I55"/>
    <mergeCell ref="E56:I56"/>
    <mergeCell ref="E40:I40"/>
    <mergeCell ref="T40:X40"/>
    <mergeCell ref="E41:I41"/>
    <mergeCell ref="T41:X41"/>
    <mergeCell ref="E42:I42"/>
    <mergeCell ref="T42:X42"/>
    <mergeCell ref="E37:I37"/>
    <mergeCell ref="T37:X37"/>
    <mergeCell ref="E38:I38"/>
    <mergeCell ref="T38:X38"/>
    <mergeCell ref="E39:I39"/>
    <mergeCell ref="T39:X39"/>
    <mergeCell ref="E34:I34"/>
    <mergeCell ref="T34:X34"/>
    <mergeCell ref="E35:I35"/>
    <mergeCell ref="T35:X35"/>
    <mergeCell ref="E36:I36"/>
    <mergeCell ref="T36:X36"/>
    <mergeCell ref="E31:I31"/>
    <mergeCell ref="T31:X31"/>
    <mergeCell ref="E32:I32"/>
    <mergeCell ref="T32:X32"/>
    <mergeCell ref="E33:I33"/>
    <mergeCell ref="T33:X33"/>
    <mergeCell ref="E28:I28"/>
    <mergeCell ref="T28:X28"/>
    <mergeCell ref="E29:I29"/>
    <mergeCell ref="T29:X29"/>
    <mergeCell ref="E30:I30"/>
    <mergeCell ref="T30:X30"/>
    <mergeCell ref="E27:I27"/>
    <mergeCell ref="T27:X27"/>
    <mergeCell ref="E18:O18"/>
    <mergeCell ref="T18:Z18"/>
    <mergeCell ref="T19:Z19"/>
    <mergeCell ref="F20:J20"/>
    <mergeCell ref="T21:X21"/>
    <mergeCell ref="F22:J22"/>
    <mergeCell ref="T22:X22"/>
    <mergeCell ref="T23:X23"/>
    <mergeCell ref="T24:X24"/>
    <mergeCell ref="R25:AC25"/>
    <mergeCell ref="F26:J26"/>
    <mergeCell ref="T26:X26"/>
    <mergeCell ref="F3:T3"/>
    <mergeCell ref="E4:T6"/>
    <mergeCell ref="F8:J8"/>
    <mergeCell ref="F14:J14"/>
    <mergeCell ref="K16:M16"/>
    <mergeCell ref="T16:X16"/>
  </mergeCells>
  <dataValidations count="4">
    <dataValidation type="list" allowBlank="1" showInputMessage="1" showErrorMessage="1" sqref="Y23">
      <formula1>"550-575,575-600,600-625,625-650,650-675,675-700,700-750,750-800,800-850,850-900"</formula1>
    </dataValidation>
    <dataValidation type="list" allowBlank="1" showInputMessage="1" showErrorMessage="1" sqref="Y22">
      <formula1>"Freely draining, Impermeable - drained for arable, Impermeable - drained for arable and grassland"</formula1>
    </dataValidation>
    <dataValidation type="list" allowBlank="1" showInputMessage="1" showErrorMessage="1" sqref="Y21">
      <formula1>"Wensum, Yare, Bure"</formula1>
    </dataValidation>
    <dataValidation type="list" allowBlank="1" showInputMessage="1" showErrorMessage="1" sqref="Y16 N22:N24 K16:L16 Y24 N27:N44 Y27:Y44">
      <formula1>"Yes,No"</formula1>
    </dataValidation>
  </dataValidations>
  <pageMargins left="0.25" right="0.25" top="0.75" bottom="0.75" header="0.3" footer="0.3"/>
  <pageSetup paperSize="9" scale="45" orientation="portrait" horizontalDpi="360" verticalDpi="360"/>
  <headerFooter scaleWithDoc="1" alignWithMargins="1" differentFirst="0" differentOddEven="0">
    <oddHeader>&amp;LPhosphate Budget Calculator&amp;CStage 5</oddHeader>
    <oddFooter>&amp;LVersion 2.2&amp;R&amp;D</oddFooter>
  </headerFooter>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E0C9650F3DC442B37916E2EF730646" ma:contentTypeVersion="15" ma:contentTypeDescription="Create a new document." ma:contentTypeScope="" ma:versionID="2344eab677ba927302b921fad9421191">
  <xsd:schema xmlns:xsd="http://www.w3.org/2001/XMLSchema" xmlns:xs="http://www.w3.org/2001/XMLSchema" xmlns:p="http://schemas.microsoft.com/office/2006/metadata/properties" xmlns:ns2="a4027286-7fce-4f15-9286-f9a37f7c275c" xmlns:ns3="4b86865d-0e63-4179-b716-7e1749ff2488" targetNamespace="http://schemas.microsoft.com/office/2006/metadata/properties" ma:root="true" ma:fieldsID="8d78568b332a4186511ec5271f7e760d" ns2:_="" ns3:_="">
    <xsd:import namespace="a4027286-7fce-4f15-9286-f9a37f7c275c"/>
    <xsd:import namespace="4b86865d-0e63-4179-b716-7e1749ff24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27286-7fce-4f15-9286-f9a37f7c27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84fe693-5cfd-43b5-a2e2-1ece0f46df4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86865d-0e63-4179-b716-7e1749ff248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3958a4c-3079-4cbc-bd06-84ef16782c04}" ma:internalName="TaxCatchAll" ma:showField="CatchAllData" ma:web="4b86865d-0e63-4179-b716-7e1749ff24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a4027286-7fce-4f15-9286-f9a37f7c275c">
      <Terms xmlns="http://schemas.microsoft.com/office/infopath/2007/PartnerControls"/>
    </lcf76f155ced4ddcb4097134ff3c332f>
    <TaxCatchAll xmlns="4b86865d-0e63-4179-b716-7e1749ff2488" xsi:nil="true"/>
  </documentManagement>
</p:properties>
</file>

<file path=customXml/itemProps1.xml><?xml version="1.0" encoding="utf-8"?>
<ds:datastoreItem xmlns:ds="http://schemas.openxmlformats.org/officeDocument/2006/customXml" ds:itemID="{AFB9A11A-7D9D-4F7D-91AE-DD1DE2864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27286-7fce-4f15-9286-f9a37f7c275c"/>
    <ds:schemaRef ds:uri="4b86865d-0e63-4179-b716-7e1749ff24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7C8F7-4871-4043-877F-6D6CCE71ECB5}">
  <ds:schemaRefs>
    <ds:schemaRef ds:uri="http://schemas.microsoft.com/office/2006/metadata/properties"/>
    <ds:schemaRef ds:uri="http://schemas.microsoft.com/office/infopath/2007/PartnerControls"/>
    <ds:schemaRef ds:uri="a4027286-7fce-4f15-9286-f9a37f7c275c"/>
    <ds:schemaRef ds:uri="4b86865d-0e63-4179-b716-7e1749ff2488"/>
  </ds:schemaRefs>
</ds:datastoreItem>
</file>

<file path=customXml/itemProps3.xml><?xml version="1.0" encoding="utf-8"?>
<ds:datastoreItem xmlns:ds="http://schemas.openxmlformats.org/officeDocument/2006/customXml" ds:itemID="{A732F4AB-3440-477A-A242-5C5451BD9214}">
  <ds:schemaRefs>
    <ds:schemaRef ds:uri="http://schemas.microsoft.com/sharepoint/v3/contenttype/forms"/>
  </ds:schemaRefs>
</ds:datastoreItem>
</file>

<file path=docMetadata/LabelInfo.xml><?xml version="1.0" encoding="utf-8"?>
<clbl:labelList xmlns:clbl="http://schemas.microsoft.com/office/2020/mipLabelMetadata">
  <clbl:label id="{bd1b448a-529f-4a04-a421-bd4ae1f79bb0}" enabled="0" method="" siteId="{bd1b448a-529f-4a04-a421-bd4ae1f79bb0}" removed="1"/>
</clbl:labelList>
</file>

<file path=docProps/app.xml><?xml version="1.0" encoding="utf-8"?>
<Properties xmlns="http://schemas.openxmlformats.org/officeDocument/2006/extended-properties">
  <Application>Microsoft Excel</Application>
  <Company>Royal HaskoningDHV</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Oliver Bowers</dc:creator>
  <dc:description/>
  <cp:keywords/>
  <cp:lastModifiedBy>Stuart Pontin</cp:lastModifiedBy>
  <dcterms:created xsi:type="dcterms:W3CDTF">2020-11-21T09:26:11Z</dcterms:created>
  <dcterms:modified xsi:type="dcterms:W3CDTF">2026-05-27T15:10:58Z</dcterms:modified>
  <dc:subject/>
  <dc:title>Norfolk budget Calc_V3.0</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0x01010024E0C9650F3DC442B37916E2EF730646</vt:lpstr>
  </property>
  <property fmtid="{D5CDD505-2E9C-101B-9397-08002B2CF9AE}" pid="3" name="MediaServiceImageTags">
    <vt:lpstr/>
  </property>
</Properties>
</file>