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ustom.xml" ContentType="application/vnd.openxmlformats-officedocument.custom-properties+xml"/>
  <Override PartName="/docProps/core.xml" ContentType="application/vnd.openxmlformats-package.core-properties+xml"/>
  <Override PartName="/xl/externalLinks/externalLink1.xml" ContentType="application/vnd.openxmlformats-officedocument.spreadsheetml.externalLink+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docProps/app.xml" ContentType="application/vnd.openxmlformats-officedocument.extended-properties+xml"/>
</Types>
</file>

<file path=_rels/.rels><?xml version="1.0" encoding="utf-8" standalone="yes"?><Relationships xmlns="http://schemas.openxmlformats.org/package/2006/relationships"><Relationship Id="rId3" Type="http://schemas.openxmlformats.org/package/2006/relationships/metadata/core-properties" Target="docProps/core.xml" /><Relationship Id="rId4" Type="http://schemas.openxmlformats.org/officeDocument/2006/relationships/custom-properties" Target="docProps/custom.xml" /><Relationship Id="rId1" Type="http://schemas.openxmlformats.org/officeDocument/2006/relationships/officeDocument" Target="xl/workbook.xml" /><Relationship Id="rId2"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lastEdited="7" lowestEdited="7" rupBuild="24326"/>
  <workbookPr codeName="ThisWorkbook" defaultThemeVersion="166925"/>
  <workbookProtection workbookAlgorithmName="SHA-512" workbookHashValue="dS3VKqqnzHMAj3ttE/1L0VkTayYvJqk0deoQ8pp1G53LJgyasBMN2ACxCyi8pRw7hDjGtTArJN7a04UxTP/vFQ==" workbookSaltValue="E3UjQSmz4E4CVbztJ0++2Q==" workbookSpinCount="100000" lockStructure="1"/>
  <bookViews>
    <workbookView xWindow="-26265" yWindow="-1500" windowWidth="20490" windowHeight="14760"/>
  </bookViews>
  <sheets>
    <sheet name="Intro" sheetId="6" r:id="rId1"/>
    <sheet name="Background" sheetId="16" r:id="rId2"/>
    <sheet name="The Broads SAC and Ramsar" sheetId="15" r:id="rId3"/>
    <sheet name="Instructions" sheetId="17" r:id="rId4"/>
    <sheet name="Development site details" sheetId="2" r:id="rId5"/>
    <sheet name="Stage 1" sheetId="7" r:id="rId6"/>
    <sheet name="Stage 2" sheetId="8" r:id="rId7"/>
    <sheet name="Stage 3" sheetId="9" r:id="rId8"/>
    <sheet name="Stage 4" sheetId="10" r:id="rId9"/>
    <sheet name="Stage 4 (2)" sheetId="13" r:id="rId10" state="hidden"/>
    <sheet name="Lookups" sheetId="3" r:id="rId11"/>
  </sheets>
  <externalReferences>
    <externalReference r:id="rId12"/>
  </externalReferences>
  <definedNames/>
  <calcPr fullPrecision="1"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<sst xmlns="http://schemas.openxmlformats.org/spreadsheetml/2006/main" uniqueCount="329" count="1817">
  <si>
    <t>Catchment</t>
  </si>
  <si>
    <t>Farmscoper Farm Term</t>
  </si>
  <si>
    <t>Climate</t>
  </si>
  <si>
    <t>Farmscoper Soil Drainage Term</t>
  </si>
  <si>
    <t>Lookup</t>
  </si>
  <si>
    <t>Operational Catchment</t>
  </si>
  <si>
    <t>Farmscoper equivalent</t>
  </si>
  <si>
    <t>Cereals</t>
  </si>
  <si>
    <t>600to700</t>
  </si>
  <si>
    <t>FreeDrain</t>
  </si>
  <si>
    <t>DrainedAr</t>
  </si>
  <si>
    <t>DrainedArGr</t>
  </si>
  <si>
    <t>700to900</t>
  </si>
  <si>
    <t>Soilscape drainage term</t>
  </si>
  <si>
    <t>Farmscoper term</t>
  </si>
  <si>
    <t>Definition</t>
  </si>
  <si>
    <t>Freely draining</t>
  </si>
  <si>
    <t>Free Draining</t>
  </si>
  <si>
    <t>Slightly impeded drainage</t>
  </si>
  <si>
    <t>Drained for arable</t>
  </si>
  <si>
    <t>Impeded drainage</t>
  </si>
  <si>
    <t>Drained for arable and grassland</t>
  </si>
  <si>
    <t>900to1200</t>
  </si>
  <si>
    <t>Variable</t>
  </si>
  <si>
    <t>Surface Wetness</t>
  </si>
  <si>
    <t>General</t>
  </si>
  <si>
    <t>Naturally wet</t>
  </si>
  <si>
    <t>1200to1500</t>
  </si>
  <si>
    <t>Over1500</t>
  </si>
  <si>
    <t>Rainfall band</t>
  </si>
  <si>
    <t>508 - 525</t>
  </si>
  <si>
    <t>525.1 - 550</t>
  </si>
  <si>
    <t>Horticulture</t>
  </si>
  <si>
    <t>550.1 - 575</t>
  </si>
  <si>
    <t>575.1 - 600</t>
  </si>
  <si>
    <t>600.1 - 625</t>
  </si>
  <si>
    <t>625.1 - 650</t>
  </si>
  <si>
    <t>650.1 - 675</t>
  </si>
  <si>
    <t>675.1 - 700</t>
  </si>
  <si>
    <t>700.1 - 750</t>
  </si>
  <si>
    <t>750.1 - 800</t>
  </si>
  <si>
    <t>800.1 - 850</t>
  </si>
  <si>
    <t>Pig</t>
  </si>
  <si>
    <t>850.1 - 900</t>
  </si>
  <si>
    <t>900.1 - 950</t>
  </si>
  <si>
    <t>950.1 - 1,000</t>
  </si>
  <si>
    <t>1,000.1 - 1,100</t>
  </si>
  <si>
    <t>Poultry</t>
  </si>
  <si>
    <t>1,100.1 - 1,200</t>
  </si>
  <si>
    <t>1,200.1 - 1,400</t>
  </si>
  <si>
    <t>1,400.1 - 1,600</t>
  </si>
  <si>
    <t>1,600.1 - 2,000</t>
  </si>
  <si>
    <t>2,000.1 - 2,400</t>
  </si>
  <si>
    <t>2,400.1 - 3,000</t>
  </si>
  <si>
    <t>3,000.1 - 4,000</t>
  </si>
  <si>
    <t>Dairy</t>
  </si>
  <si>
    <t>4,000.1 - 5,500</t>
  </si>
  <si>
    <t>LFA</t>
  </si>
  <si>
    <t>Lowland</t>
  </si>
  <si>
    <t>Mixed</t>
  </si>
  <si>
    <t>Greenspace</t>
  </si>
  <si>
    <t>Woodland</t>
  </si>
  <si>
    <t>Shrub</t>
  </si>
  <si>
    <t>Water</t>
  </si>
  <si>
    <t>Residential urban land</t>
  </si>
  <si>
    <r>
      <t>Commercial/</t>
    </r>
    <r>
      <rPr>
        <i/>
        <sz val="11"/>
        <color theme="1"/>
        <rFont val="Segoe UI"/>
        <family val="2"/>
        <charset val="0"/>
      </rPr>
      <t>i</t>
    </r>
    <r>
      <rPr>
        <sz val="11"/>
        <color theme="1"/>
        <rFont val="Segoe UI"/>
        <family val="2"/>
        <charset val="0"/>
      </rPr>
      <t>ndustrial urban land</t>
    </r>
  </si>
  <si>
    <t>Open urban land</t>
  </si>
  <si>
    <t>Community food growing</t>
  </si>
  <si>
    <t>Planning Application number:</t>
  </si>
  <si>
    <t>Site Address:</t>
  </si>
  <si>
    <t>Site Name:</t>
  </si>
  <si>
    <t>Catchment:</t>
  </si>
  <si>
    <t>Date of first occupancy:</t>
  </si>
  <si>
    <t>Average occupancy rate:</t>
  </si>
  <si>
    <t>Additional population</t>
  </si>
  <si>
    <t>Wastewater by development</t>
  </si>
  <si>
    <t>litres/day</t>
  </si>
  <si>
    <t>TP discharge from WwTW</t>
  </si>
  <si>
    <t>mg TP/day</t>
  </si>
  <si>
    <t>Convert to kg/TP/d</t>
  </si>
  <si>
    <t>kg TP/day</t>
  </si>
  <si>
    <t>Convert to kg/TP/yr</t>
  </si>
  <si>
    <t>kg TP/yr</t>
  </si>
  <si>
    <t>Soil drainage type:</t>
  </si>
  <si>
    <t>Total:</t>
  </si>
  <si>
    <t>N loading to WwTW:</t>
  </si>
  <si>
    <t>Net land use N change:</t>
  </si>
  <si>
    <t>N budget:</t>
  </si>
  <si>
    <t>N budget + 20% buffer:</t>
  </si>
  <si>
    <t>P budget + 20% buffer:</t>
  </si>
  <si>
    <t>P budget:</t>
  </si>
  <si>
    <t>Net land use P change:</t>
  </si>
  <si>
    <t>P loading to WwTW:</t>
  </si>
  <si>
    <t>NVZ</t>
  </si>
  <si>
    <t>No</t>
  </si>
  <si>
    <t>Yes</t>
  </si>
  <si>
    <t>Nitrogen export coefficient</t>
  </si>
  <si>
    <r>
      <t xml:space="preserve">Water usage </t>
    </r>
    <r>
      <rPr>
        <sz val="11"/>
        <rFont val="Arial"/>
        <family val="2"/>
        <charset val="0"/>
      </rPr>
      <t>(litres/person/day)</t>
    </r>
    <r>
      <rPr>
        <b/>
        <sz val="11"/>
        <rFont val="Arial"/>
        <family val="2"/>
        <charset val="0"/>
      </rPr>
      <t>:</t>
    </r>
  </si>
  <si>
    <r>
      <t xml:space="preserve">Area </t>
    </r>
    <r>
      <rPr>
        <sz val="11"/>
        <color theme="1"/>
        <rFont val="Arial"/>
        <family val="2"/>
        <charset val="0"/>
      </rPr>
      <t>(ha)</t>
    </r>
  </si>
  <si>
    <r>
      <t>Commercial/</t>
    </r>
    <r>
      <rPr>
        <i/>
        <sz val="11"/>
        <color theme="1"/>
        <rFont val="Arial"/>
        <family val="2"/>
        <charset val="0"/>
      </rPr>
      <t>i</t>
    </r>
    <r>
      <rPr>
        <sz val="11"/>
        <color theme="1"/>
        <rFont val="Arial"/>
        <family val="2"/>
        <charset val="0"/>
      </rPr>
      <t>ndustrial urban land</t>
    </r>
  </si>
  <si>
    <t>Discharge Site Name</t>
  </si>
  <si>
    <t>Septic Tank default</t>
  </si>
  <si>
    <t>TN discharge from WwTW</t>
  </si>
  <si>
    <t>mg TN/day</t>
  </si>
  <si>
    <t>kg TN/day</t>
  </si>
  <si>
    <t>kg TN/yr</t>
  </si>
  <si>
    <t>Convert to kg/TN/d</t>
  </si>
  <si>
    <t>Convert to kg/TN/yr</t>
  </si>
  <si>
    <t>Package Treatment Plant default</t>
  </si>
  <si>
    <t>Package Treatment Plant user defined</t>
  </si>
  <si>
    <t>Septic Tank user defined</t>
  </si>
  <si>
    <t>Table 1: Stage 1 WwTW lookup</t>
  </si>
  <si>
    <t>-</t>
  </si>
  <si>
    <t>Mid</t>
  </si>
  <si>
    <t>Farmscoper Equivalent</t>
  </si>
  <si>
    <t>Under600</t>
  </si>
  <si>
    <t>Residential N export coefficient (kg/ha/yr)</t>
  </si>
  <si>
    <t>Commercial / industrial N export coefficient (kg/ha/yr)</t>
  </si>
  <si>
    <t>Open urban N export coefficient (kg/ha/yr)</t>
  </si>
  <si>
    <t>Residential P export coefficient (kg/ha/yr)</t>
  </si>
  <si>
    <t>Commercial / industrial P export coefficient (kg/ha/yr)</t>
  </si>
  <si>
    <t>Open urban P export coefficient (kg/ha/yr)</t>
  </si>
  <si>
    <t xml:space="preserve">P Urban Runoff Coefficient </t>
  </si>
  <si>
    <t>Table 2: Stage 2 and 3 Landcover lookup</t>
  </si>
  <si>
    <t>All Possible Landcover Types</t>
  </si>
  <si>
    <t>Table 5: Stage 2 and 3 Soil Drainage Lookup</t>
  </si>
  <si>
    <t>Table 4: Stage 2 and 3 Catchment Lookup</t>
  </si>
  <si>
    <t>Table 6: Stage 2 and 3 NVZ Lookup</t>
  </si>
  <si>
    <t>Table 7: Stage 2 and 3 Landcovers</t>
  </si>
  <si>
    <t>Table 8: Stage 2 and 3 Landcover lookup</t>
  </si>
  <si>
    <t>The total amount of nitrogen to mitigate is:</t>
  </si>
  <si>
    <t>Your final phosphorus budget is:</t>
  </si>
  <si>
    <t>have pop up message if negative that says soemthing like "No P to mitigate</t>
  </si>
  <si>
    <t xml:space="preserve">If positive have message similar to the right </t>
  </si>
  <si>
    <r>
      <t xml:space="preserve">Date </t>
    </r>
    <r>
      <rPr>
        <sz val="11"/>
        <rFont val="Calibri"/>
        <family val="2"/>
        <charset val="0"/>
        <scheme val="minor"/>
      </rPr>
      <t>(dd/mm/yyyy)</t>
    </r>
    <r>
      <rPr>
        <b/>
        <sz val="11"/>
        <rFont val="Calibri"/>
        <family val="2"/>
        <charset val="0"/>
        <scheme val="minor"/>
      </rPr>
      <t>:</t>
    </r>
  </si>
  <si>
    <t>AND($C$9&lt;DATE(2025,1,1),OR((VLOOKUP($C$13,Lookups!$A$9:$E$14,2,FALSE))&gt;(VLOOKUP($C$13,Lookups!$A$9:$E$14,4,FALSE)),(VLOOKUP($C$13,Lookups!$A$9:$E$14,3,FALSE))&gt;(VLOOKUP($C$13,Lookups!$A$9:$E$14,5,FALSE))))</t>
  </si>
  <si>
    <t>Annual wastewater TP load</t>
  </si>
  <si>
    <t>Annual wastewater TN load</t>
  </si>
  <si>
    <t>people</t>
  </si>
  <si>
    <t>The total annual phosphorus load to mitigate is:</t>
  </si>
  <si>
    <t>The total annual nitrogen load to mitigate is:</t>
  </si>
  <si>
    <t xml:space="preserve">http://environment.data.gov.uk/catchment-planning/ </t>
  </si>
  <si>
    <t xml:space="preserve">http://www.landis.org.uk/soilscapes/#.  </t>
  </si>
  <si>
    <t>http://mapapps2.bgs.ac.uk/ukso/home.html?layers=NVZEng</t>
  </si>
  <si>
    <t>New land use type(s)</t>
  </si>
  <si>
    <t>Existing land use type(s)</t>
  </si>
  <si>
    <t>Instructions</t>
  </si>
  <si>
    <t>The nutrient budget for a site is calculated in four stages, with each stage implemented in the following worksheets.</t>
  </si>
  <si>
    <t xml:space="preserve">Note: </t>
  </si>
  <si>
    <t xml:space="preserve">Key: </t>
  </si>
  <si>
    <t>Values to be entered by the user</t>
  </si>
  <si>
    <t>Fixed or calculated values</t>
  </si>
  <si>
    <t>Lookup tables</t>
  </si>
  <si>
    <r>
      <t>It is advisable to retain a blank copy of this workbook and "Save as" a new copy each time you calculate a budget, in case of any mistakes in data inputs or to ease calculation of new nutrient budgets .</t>
    </r>
    <r>
      <rPr>
        <b/>
        <sz val="11"/>
        <color rgb="FF000000"/>
        <rFont val="Arial"/>
        <family val="2"/>
        <charset val="0"/>
      </rPr>
      <t xml:space="preserve"> </t>
    </r>
  </si>
  <si>
    <t>When a cell is selected, instructions are shown on how to fill out the cell:</t>
  </si>
  <si>
    <t xml:space="preserve">In this section the user will need to enter: </t>
  </si>
  <si>
    <t>The date of first occupancy. This is because some wastewater treatment works (WwTW) may be due an upgrade in 2025 which will change the nutrient concentration permit values. This will be shown through two values for the permits and nutrients load from before and after the upgrade.</t>
  </si>
  <si>
    <t>In this section some environmental information about the development will need to be entered as well as the type(s) and area(s) of landcover on the development site. Only landcovers for the land that is being altered by the development should be entered.</t>
  </si>
  <si>
    <t>The drop down list of landcover types contains seven agricultural landcover types and eight different non-agricultural landcover types that may be present in the development. Please find out what landcover types are within the development before completing this tool. If there is a landcover within the development area that is not in the list please select the most similar landcover type.</t>
  </si>
  <si>
    <t>The instructions at the bottom of this page detail how to find the environmental information for the site if it is unknown.</t>
  </si>
  <si>
    <t>In this section the user will need to select the type(s) and area(s) of the landcover present on the new site.</t>
  </si>
  <si>
    <t>The drop down list of landcover types contains eight different landcover types that may be present on the development site. Please find out what landcover types will be within the development site before completing this tool. If there is a landcover within the development site that is not in the list please select the most similar landcover type.</t>
  </si>
  <si>
    <t>The guidance document that accompanies this calculator breaks down what is included in each landcover type.</t>
  </si>
  <si>
    <t>This final stage automatically calculates the results from Stage 1-3 using the equation below.</t>
  </si>
  <si>
    <t>The value(s) shown are how much nutrient mitigation is required in kilograms per year to achieve nutrient neutrality.</t>
  </si>
  <si>
    <t>If there are two values due to changing permits, the calculator will show the total amount of nutrient mitigation that is needed before and after the changing permit date.</t>
  </si>
  <si>
    <t>b) Search the location by place name, postcode etc. This will give a high-level view of the area. Use the zoom feature to find the exact location of the development.</t>
  </si>
  <si>
    <t>c) Click on the light blue area on the map in which the development is located. This will bring the user to the Operational Catchment page</t>
  </si>
  <si>
    <t>d) Make note of the name of the Operational Catchment and select it from the dropdown list in the relevant cell.</t>
  </si>
  <si>
    <t>b) Find the site location on the map by using the search bar on the right side of the map in the 'Search' tab. Searching an area will generate a pop up window in which you can view the soil information by clicking 'View soil information'. If this is not an option then click on the relevant soil type on the map and click on the 'Soil information' tab on the right hand side of the map, below the 'Search' tab.</t>
  </si>
  <si>
    <t>c) The 'Soil drainage type' value can be found In the 'Soil information' under the title 'Drainage:'</t>
  </si>
  <si>
    <t>d) Make a note of this soil type and select the relevant soil drainage type from the drop down list in the relevant cell.</t>
  </si>
  <si>
    <t>c) Click on the dropdown list next to the title 'Select spatial data type to view:' on the left of the map and select 'Rainfall'. Next select the Legend tab.</t>
  </si>
  <si>
    <t>d) Zoom in on the map to find the location of the development and find the corresponding rainfall range from the Legend.</t>
  </si>
  <si>
    <t xml:space="preserve">e) Select the rainfall band from the drop down list in the table.  If your rainfall band is not in the drop down list, please select the closest band shown in the list.                               </t>
  </si>
  <si>
    <t>b) Enter the location of the development site in the search bar.</t>
  </si>
  <si>
    <t xml:space="preserve">d) Make note of this and select this in the dropdown list. </t>
  </si>
  <si>
    <t>2.1 Stage 1: calculate the new nutrient load associated with the additional wastewater:</t>
  </si>
  <si>
    <t>2.2 Stage 2 - calculate the annual nutrient load from existing (pre development) land use on the development site:</t>
  </si>
  <si>
    <t>2.3 Stage 3 - calculate the annual nutrient load from new (post-development) land use on the development site:</t>
  </si>
  <si>
    <t>2.4 Stage 4 - calculate the net change in nutrient loading for the site and the final annual nutrient budget for the development site:</t>
  </si>
  <si>
    <t>2.5 The equation used to calculate the nutrient budget:</t>
  </si>
  <si>
    <t>3.1 Instructions for finding the Operational Catchment that the development is situated within:</t>
  </si>
  <si>
    <t>3.3 Instructions for finding the annual average rainfall that the development will receive using the National River Flow Archive:</t>
  </si>
  <si>
    <t>3.4 Instructions for finding out whether the development is in a Nitrate Vulnerable Zone (NVZ):</t>
  </si>
  <si>
    <t>Mean P export of farm type</t>
  </si>
  <si>
    <t>Mean N export of farm type</t>
  </si>
  <si>
    <t>Mean P export of farm type and climate combination</t>
  </si>
  <si>
    <t>Mean N export of farm type and climate combination</t>
  </si>
  <si>
    <t>Table 3: Stage 2 and 3 Rainfall / Urban Lookup</t>
  </si>
  <si>
    <t>Phosphorus, Total as P (mg/l), permit post 2025</t>
  </si>
  <si>
    <t>Phosphorus, Total as P (mg/l)</t>
  </si>
  <si>
    <t>N Urban Runoff Coefficient (kg/ha/yr)</t>
  </si>
  <si>
    <t>Background</t>
  </si>
  <si>
    <t>Stage 1 Calculated Loading</t>
  </si>
  <si>
    <t>User Inputs</t>
  </si>
  <si>
    <t>Stage 1</t>
  </si>
  <si>
    <r>
      <t xml:space="preserve">Annual phosphorus nutrient export 
</t>
    </r>
    <r>
      <rPr>
        <sz val="11"/>
        <color theme="1"/>
        <rFont val="Arial"/>
        <family val="2"/>
        <charset val="0"/>
      </rPr>
      <t>(kg TP)</t>
    </r>
  </si>
  <si>
    <r>
      <t xml:space="preserve">Annual nitrogen nutrient export 
</t>
    </r>
    <r>
      <rPr>
        <sz val="11"/>
        <color theme="1"/>
        <rFont val="Arial"/>
        <family val="2"/>
        <charset val="0"/>
      </rPr>
      <t>(kg TN)</t>
    </r>
  </si>
  <si>
    <t>Stage 2</t>
  </si>
  <si>
    <t>Stage 3</t>
  </si>
  <si>
    <t>Calculated Outputs</t>
  </si>
  <si>
    <t>Stage 4</t>
  </si>
  <si>
    <t>Look Up Tables</t>
  </si>
  <si>
    <r>
      <t xml:space="preserve">Annual nitrogen nutrient export
</t>
    </r>
    <r>
      <rPr>
        <sz val="11"/>
        <color theme="1"/>
        <rFont val="Arial"/>
        <family val="2"/>
        <charset val="0"/>
      </rPr>
      <t>(kg TN)</t>
    </r>
  </si>
  <si>
    <t>3.2 Instructions for finding the drainage associated with the predominant soil type within development site:</t>
  </si>
  <si>
    <t>Farm Lookup</t>
  </si>
  <si>
    <t>Wastewater treatment works:</t>
  </si>
  <si>
    <r>
      <t xml:space="preserve">Wastewater treatment works P permit </t>
    </r>
    <r>
      <rPr>
        <sz val="11"/>
        <rFont val="Arial"/>
        <family val="2"/>
        <charset val="0"/>
      </rPr>
      <t>(mg TP/litre)</t>
    </r>
    <r>
      <rPr>
        <b/>
        <sz val="11"/>
        <rFont val="Arial"/>
        <family val="2"/>
        <charset val="0"/>
      </rPr>
      <t>:</t>
    </r>
  </si>
  <si>
    <r>
      <t xml:space="preserve">Wastewater treatment works N permit </t>
    </r>
    <r>
      <rPr>
        <sz val="11"/>
        <rFont val="Arial"/>
        <family val="2"/>
        <charset val="0"/>
      </rPr>
      <t>(mg TN/litre)</t>
    </r>
    <r>
      <rPr>
        <b/>
        <sz val="11"/>
        <rFont val="Arial"/>
        <family val="2"/>
        <charset val="0"/>
      </rPr>
      <t>:</t>
    </r>
  </si>
  <si>
    <t>Within Nitrate Vulnerable Zone (NVZ):</t>
  </si>
  <si>
    <r>
      <t xml:space="preserve">Annual average rainfall </t>
    </r>
    <r>
      <rPr>
        <sz val="11"/>
        <rFont val="Arial"/>
        <family val="2"/>
        <charset val="0"/>
      </rPr>
      <t>(mm)</t>
    </r>
    <r>
      <rPr>
        <b/>
        <sz val="11"/>
        <rFont val="Arial"/>
        <family val="2"/>
        <charset val="0"/>
      </rPr>
      <t>:</t>
    </r>
  </si>
  <si>
    <t>Phosphorus export coefficient</t>
  </si>
  <si>
    <t>The receiving WwTW that the development will drain to. If it is uncertain what WwTW the site will drain to, please find this information from your sewerage company before completing the calculator. If it is not feasable to connect to a WwTW and a septic tank or package treatment plant is being used, please select this option. Please be aware that if the total nitrogen (TN) or total phosphorus (TP) final effluent concentrations (in mg/l) are specified by the manufacturer, please select 'Septic Tank user defined' or 'Package Treatment Plant user defined' and enter the manufacturer specified value in the cell where prompted.</t>
  </si>
  <si>
    <t>c) Once the area has been located, click on the map where the development is located to find out if is within an NVZ.</t>
  </si>
  <si>
    <t xml:space="preserve">The values already included in this tool have been chosen based on research to determine suitable inputs to the nutrient budget that meet the HRA tests of beyond reasonable scientific doubt, in perpetuity (practically speaking this is 80-125 years) and in accordance with the precautionary principle. If editing any values in this tool, you must make sure there is a sufficient evidence base to justify these changes and that the new inputs are selected in accordance with the precautionary principle.  </t>
  </si>
  <si>
    <t>Development site details</t>
  </si>
  <si>
    <t>b) This link will bring the user to the Tas at Shotesham flow gauge catchment information page.</t>
  </si>
  <si>
    <t xml:space="preserve">a) Go to this link:  </t>
  </si>
  <si>
    <t>Barton Turf</t>
  </si>
  <si>
    <t>Bylaugh Water Recycling Centre</t>
  </si>
  <si>
    <t>Foulsham Water Recycling Centre</t>
  </si>
  <si>
    <t>Reepham Water Recycling Centre</t>
  </si>
  <si>
    <t>Sparham(Wells Close)</t>
  </si>
  <si>
    <t>Wensum</t>
  </si>
  <si>
    <t>Commercial/industrial urban land</t>
  </si>
  <si>
    <t>The Broads Specific Landcover Types</t>
  </si>
  <si>
    <t>Yare</t>
  </si>
  <si>
    <t>Barford Water Recycling Centre</t>
  </si>
  <si>
    <t>Carleton Rode</t>
  </si>
  <si>
    <t>Hempnall Water Recycling Centre</t>
  </si>
  <si>
    <t>School Lane</t>
  </si>
  <si>
    <t>The Street</t>
  </si>
  <si>
    <t>Whitlingham Water Recycling Centre</t>
  </si>
  <si>
    <t>Wymondham Water Recycling Centre</t>
  </si>
  <si>
    <t>Bure</t>
  </si>
  <si>
    <t>Aylsham Water Recycling Centre</t>
  </si>
  <si>
    <t>Belaugh Water Recycling Centre</t>
  </si>
  <si>
    <t>Briston Water Recycling Centre</t>
  </si>
  <si>
    <t>Roughton Water Recycling Centre</t>
  </si>
  <si>
    <t>Aldborough Water Recycling Centre</t>
  </si>
  <si>
    <t>3008_Broadland</t>
  </si>
  <si>
    <t>Nitrogen, Total as N (mg/l)</t>
  </si>
  <si>
    <t>Nitrogen, Total as N (mg/l), permit post 2025</t>
  </si>
  <si>
    <t>https://nrfa.ceh.ac.uk/data/station/spatial/34002</t>
  </si>
  <si>
    <t>Ashwellthorpe Water Recycling Centre</t>
  </si>
  <si>
    <t>Barnham Broom Water Recycling Centre</t>
  </si>
  <si>
    <t>Billingford STW</t>
  </si>
  <si>
    <t>Bircham Newton (Monks Close) WRC</t>
  </si>
  <si>
    <t>Bunwell STW</t>
  </si>
  <si>
    <t>Carleton Rode STW</t>
  </si>
  <si>
    <t>Coltishall STW</t>
  </si>
  <si>
    <t>Corpusty STW</t>
  </si>
  <si>
    <t>Cranworth STW</t>
  </si>
  <si>
    <t>Deopham STW</t>
  </si>
  <si>
    <t>Dereham WRC</t>
  </si>
  <si>
    <t>East Bilney STW</t>
  </si>
  <si>
    <t>East Ruston STW</t>
  </si>
  <si>
    <t>Fakenham (Old And New) WRC</t>
  </si>
  <si>
    <t>Felmingham Water Recycling Centre</t>
  </si>
  <si>
    <t>Forncett End STW</t>
  </si>
  <si>
    <t>Forncett St. Peter STW</t>
  </si>
  <si>
    <t>Fritton School Lane STW</t>
  </si>
  <si>
    <t>Fundenhall STW</t>
  </si>
  <si>
    <t>Garvestone Reymerston Road STW</t>
  </si>
  <si>
    <t>Garvestone, Dereham Road</t>
  </si>
  <si>
    <t>Gateley STW</t>
  </si>
  <si>
    <t>Great Melton STW</t>
  </si>
  <si>
    <t>Gresham STW</t>
  </si>
  <si>
    <t>Hardwick STW</t>
  </si>
  <si>
    <t>Hindolveston Oxigest</t>
  </si>
  <si>
    <t>Hindolveston STW</t>
  </si>
  <si>
    <t>Hockering STW</t>
  </si>
  <si>
    <t>Honing STW</t>
  </si>
  <si>
    <t>Little Fransham Cro STW</t>
  </si>
  <si>
    <t>Little Fransham(Gc) STW</t>
  </si>
  <si>
    <t>Long Stratton WRC</t>
  </si>
  <si>
    <t>Ludham Water Recycling Centre</t>
  </si>
  <si>
    <t>Mattishall STW</t>
  </si>
  <si>
    <t>North Elmham STW</t>
  </si>
  <si>
    <t>North Tuddenham STW</t>
  </si>
  <si>
    <t>North Walsham STW</t>
  </si>
  <si>
    <t>Rackheath Water Recycling Centre</t>
  </si>
  <si>
    <t>Ridlington(Norfolk) STW</t>
  </si>
  <si>
    <t>Saxlingham STW</t>
  </si>
  <si>
    <t>Sculthorpe STW</t>
  </si>
  <si>
    <t>Shipdham STW</t>
  </si>
  <si>
    <t>Shotesham The Grove STW</t>
  </si>
  <si>
    <t>Skeyton STW</t>
  </si>
  <si>
    <t>Sloley STW</t>
  </si>
  <si>
    <t>Smallburgh STW</t>
  </si>
  <si>
    <t>Southrepps STW</t>
  </si>
  <si>
    <t>Sparham Norwich Road WRC</t>
  </si>
  <si>
    <t>Stalham Water Recycling Centre</t>
  </si>
  <si>
    <t>Stanfield STW</t>
  </si>
  <si>
    <t>Stibbard Moor End STW</t>
  </si>
  <si>
    <t>Stoke Holy Cross STW</t>
  </si>
  <si>
    <t>Swanton Abbott STW</t>
  </si>
  <si>
    <t>Swanton Morley Water Recycling Centre</t>
  </si>
  <si>
    <t>Swanton Novers STW</t>
  </si>
  <si>
    <t>Swardeston STW</t>
  </si>
  <si>
    <t>Weasenham All Saints STW</t>
  </si>
  <si>
    <t>Weasenham St.Peter STW</t>
  </si>
  <si>
    <t>Wendling STW</t>
  </si>
  <si>
    <t>West Raynham STW</t>
  </si>
  <si>
    <t>Brisley</t>
  </si>
  <si>
    <t>South Raynham</t>
  </si>
  <si>
    <t>Ashmanaugh</t>
  </si>
  <si>
    <t>The Broads Special Area of Conservation (SAC) and Broadland Ramsar site</t>
  </si>
  <si>
    <t>The fens of the Broads, located in East Anglia, contain several examples of naturally nutrient-rich lakes. Although artificial, having been created by peat digging in medieval times, these lakes and the ditches in areas of fen and drained marshlands support relict vegetation of the original Fenland flora, and collectively this site contains one of the richest assemblages of rare and local aquatic species in the UK.</t>
  </si>
  <si>
    <t xml:space="preserve">The SAC and Ramsar are designated for several different significant habitats, including habitats made up of a range of important aquatic plant species from groups including stoneworts, pondweeds, water-milfoils and water-lillys. The sites are also a stronghold of little whirlpool ram’s-horn snail and Desmoulin’s whorl snail in East Anglia. The range of wetlands and associated habitats also provides suitable conditions for otters. </t>
  </si>
  <si>
    <t xml:space="preserve">Increased levels of nitrogen and phosphorous entering aquatic environments via surface water and groundwater can severely threaten these sensitive habitats and species within the sites. The elevated levels of nutrients can cause eutrophication, leading to algal blooms which disrupt normal ecosystem function and cause major changes in the aquatic community. These algal blooms can result in reduced levels of oxygen within the water, which in turn can lead to the death of many aquatic organisms including invertebrates and fish. </t>
  </si>
  <si>
    <t>The habitats and species within the site that result in designation as a SAC and Ramsar site are referred to as ‘qualifying features’. Not all of these qualifying features will be sensitive to changes in nutrients within the sites. When completing an HRA involving nutrient neutrality, the Competent Authority (normally Local Planning Authority for developments) must identify and screen out qualifying features that are not sensitive to nutrients via a Habitats Regulations Assessment.  Developers will be asked to submit information to support this process.</t>
  </si>
  <si>
    <t xml:space="preserve">More detailed information on the qualifying features of the SAC and Ramsar and details of water quality data highlighting the current nutrient problems in the site are available in the Natural England The Broads SAC and Broadland Ramsar site evidence summary. </t>
  </si>
  <si>
    <r>
      <t/>
    </r>
    <r>
      <rPr>
        <b/>
        <i/>
        <sz val="8"/>
        <color theme="2" tint="-0.249977111117893"/>
        <rFont val="Calibri"/>
        <family val="2"/>
        <charset val="0"/>
        <scheme val="minor"/>
      </rPr>
      <t>Image Source:</t>
    </r>
    <r>
      <rPr>
        <i/>
        <sz val="8"/>
        <color theme="2" tint="-0.249977111117893"/>
        <rFont val="Calibri"/>
        <family val="2"/>
        <charset val="0"/>
        <scheme val="minor"/>
      </rPr>
      <t xml:space="preserve">
Martin Pettitt
Boat Trip On The Norfolk Broads At Wroxham, Norfolk</t>
    </r>
    <r>
      <rPr>
        <sz val="8"/>
        <color theme="2" tint="-0.249977111117893"/>
        <rFont val="Calibri"/>
        <family val="2"/>
        <charset val="0"/>
        <scheme val="minor"/>
      </rPr>
      <t xml:space="preserve">
Copyright: © Martin Pettitt 2015</t>
    </r>
  </si>
  <si>
    <t xml:space="preserve">The first step in an HRA involving nutrient neutrality is understanding both whether a residential development will need mitigation to achieve nutrient neutrality and, if so, the amount of nutrients that require mitigating on an annual basis.  In order to understand the amount of nutrients a new residential development will create, a nutrient budget for the development is required.  </t>
  </si>
  <si>
    <t>1. General tips:</t>
  </si>
  <si>
    <t>2. Stage specific instructions:</t>
  </si>
  <si>
    <t>The average occupancy rate of the development will need to be entered. The default setting is the national occupancy rate of 2.4 people per dwelling/unit. Only change this value if there is sufficient evidence that the development will be different to the national average.</t>
  </si>
  <si>
    <t>The number of dwellings/units that will be in the development at the time of completion.</t>
  </si>
  <si>
    <t>3. Site specific data collection instructions:</t>
  </si>
  <si>
    <t xml:space="preserve">a) Go to this link:   </t>
  </si>
  <si>
    <t>a) Go to this link:</t>
  </si>
  <si>
    <r>
      <t xml:space="preserve">Development Proposal </t>
    </r>
    <r>
      <rPr>
        <sz val="11"/>
        <rFont val="Arial"/>
        <family val="2"/>
        <charset val="0"/>
      </rPr>
      <t>(dwellings/unit)</t>
    </r>
    <r>
      <rPr>
        <b/>
        <sz val="11"/>
        <rFont val="Arial"/>
        <family val="2"/>
        <charset val="0"/>
      </rPr>
      <t>:</t>
    </r>
  </si>
  <si>
    <t xml:space="preserve">There have been a series of court cases in recent years relating to how new plans or projects interact with the Habitats Regulations process where there are existing high levels of background nutrients. These decisions have led Natural England to review its advice on water quality effects on Habitats sites.  </t>
  </si>
  <si>
    <t xml:space="preserve">The additional nutrient load from the increase in wastewater and/or the change in the land use of the development land created by a new residential development can create an impact pathway for potential negative effects on Habitats sites that are already suffering from problems related to nutrient loading. This impact pathway is shown diagrammatically in Figure 1.  </t>
  </si>
  <si>
    <t xml:space="preserve">Habitats Regulations Assessments (HRAs) of new residential developments need to consider whether nutrient loading will result in ‘Likely Significant Effects’ (LSE) on a Habitats site.  If an HRA finds LSE due to nutrient loading,  the Appropriate Assessment will need to consider whether this nutrient load needs to be mitigated in order to remove adverse effects on the Habitats site.  </t>
  </si>
  <si>
    <r>
      <t>This tool provides a step-by-step approach to calculating the nutrient budget for a new residential development.  Before a nutrient budget can be completed using the methodology, certain site-specific details for the Habitats Site in question need to be determined.  The required details for each stage of the nutrient budget methodology are shown in the instructions tab, with an associated guidance document that informs users of this calculator how to generate certain inputs to the calculator.</t>
    </r>
    <r>
      <rPr>
        <sz val="12"/>
        <color rgb="FF000000"/>
        <rFont val="Arial"/>
        <family val="2"/>
        <charset val="0"/>
      </rPr>
      <t xml:space="preserve"> </t>
    </r>
  </si>
  <si>
    <t xml:space="preserve">The Broads SAC and Broadland Ramsar site are Habitats sites with water pollution and eutrophication considered a threat to its condition.  </t>
  </si>
</sst>
</file>

<file path=xl/styles.xml><?xml version="1.0" encoding="utf-8"?>
<styleSheet xmlns:mc="http://schemas.openxmlformats.org/markup-compatibility/2006" xmlns:x14ac="http://schemas.microsoft.com/office/spreadsheetml/2009/9/ac" xmlns="http://schemas.openxmlformats.org/spreadsheetml/2006/main" mc:Ignorable="x14ac">
  <fonts count="82">
    <font>
      <sz val="11"/>
      <color theme="1"/>
      <name val="Calibri"/>
      <family val="2"/>
      <charset val="0"/>
      <scheme val="minor"/>
    </font>
    <font>
      <sz val="11"/>
      <name val="Calibri"/>
      <family val="2"/>
      <charset val="0"/>
      <scheme val="minor"/>
    </font>
    <font>
      <u val="single"/>
      <sz val="11"/>
      <color theme="10"/>
      <name val="Calibri"/>
      <family val="2"/>
      <charset val="0"/>
      <scheme val="minor"/>
    </font>
    <font>
      <sz val="11"/>
      <color theme="1"/>
      <name val="Segoe UI"/>
      <family val="2"/>
      <charset val="0"/>
    </font>
    <font>
      <sz val="11"/>
      <color theme="1"/>
      <name val="Calibri"/>
      <family val="2"/>
      <charset val="0"/>
      <scheme val="minor"/>
    </font>
    <font>
      <sz val="11"/>
      <color rgb="FF000000"/>
      <name val="Segoe UI"/>
      <family val="2"/>
      <charset val="0"/>
    </font>
    <font>
      <i/>
      <sz val="11"/>
      <color theme="1"/>
      <name val="Segoe UI"/>
      <family val="2"/>
      <charset val="0"/>
    </font>
    <font>
      <sz val="11"/>
      <color theme="1"/>
      <name val="Gill Sans MT"/>
      <family val="2"/>
      <charset val="0"/>
    </font>
    <font>
      <b/>
      <sz val="11"/>
      <color theme="0"/>
      <name val="Gill Sans MT"/>
      <family val="2"/>
      <charset val="0"/>
    </font>
    <font>
      <b/>
      <sz val="11"/>
      <color theme="1"/>
      <name val="Gill Sans MT"/>
      <family val="2"/>
      <charset val="0"/>
    </font>
    <font>
      <b/>
      <sz val="11"/>
      <color theme="1"/>
      <name val="Calibri"/>
      <family val="2"/>
      <charset val="0"/>
      <scheme val="minor"/>
    </font>
    <font>
      <sz val="11"/>
      <name val="Gill Sans MT"/>
      <family val="2"/>
      <charset val="0"/>
    </font>
    <font>
      <b/>
      <sz val="11"/>
      <color theme="1"/>
      <name val="Arial"/>
      <family val="2"/>
      <charset val="0"/>
    </font>
    <font>
      <b/>
      <sz val="11"/>
      <name val="Arial"/>
      <family val="2"/>
      <charset val="0"/>
    </font>
    <font>
      <sz val="11"/>
      <name val="Arial"/>
      <family val="2"/>
      <charset val="0"/>
    </font>
    <font>
      <sz val="11"/>
      <color theme="0"/>
      <name val="Gill Sans MT"/>
      <family val="2"/>
      <charset val="0"/>
    </font>
    <font>
      <sz val="11"/>
      <color theme="1"/>
      <name val="Arial"/>
      <family val="2"/>
      <charset val="0"/>
    </font>
    <font>
      <sz val="11"/>
      <color rgb="FF000000"/>
      <name val="Arial"/>
      <family val="2"/>
      <charset val="0"/>
    </font>
    <font>
      <i/>
      <sz val="11"/>
      <color theme="1"/>
      <name val="Arial"/>
      <family val="2"/>
      <charset val="0"/>
    </font>
    <font>
      <sz val="11"/>
      <color theme="1" tint="0.0499893185216834"/>
      <name val="Arial"/>
      <family val="2"/>
      <charset val="0"/>
    </font>
    <font>
      <b/>
      <sz val="11"/>
      <name val="Calibri"/>
      <family val="2"/>
      <charset val="0"/>
      <scheme val="minor"/>
    </font>
    <font>
      <b/>
      <sz val="12"/>
      <color theme="1"/>
      <name val="Arial"/>
      <family val="2"/>
      <charset val="0"/>
    </font>
    <font>
      <sz val="11"/>
      <color rgb="FF242424"/>
      <name val="Segoe UI"/>
      <family val="2"/>
      <charset val="0"/>
    </font>
    <font>
      <sz val="11"/>
      <color theme="1" tint="0.14999847407452621"/>
      <name val="Calibri"/>
      <family val="2"/>
      <charset val="0"/>
      <scheme val="minor"/>
    </font>
    <font>
      <sz val="11"/>
      <color theme="0"/>
      <name val="Calibri"/>
      <family val="2"/>
      <charset val="0"/>
      <scheme val="minor"/>
    </font>
    <font>
      <b/>
      <sz val="14"/>
      <color theme="1"/>
      <name val="Arial"/>
      <family val="2"/>
      <charset val="0"/>
    </font>
    <font>
      <b/>
      <sz val="11"/>
      <color theme="1"/>
      <name val="Century Gothic"/>
      <family val="2"/>
      <charset val="0"/>
    </font>
    <font>
      <sz val="11"/>
      <color theme="1" tint="0.14999847407452621"/>
      <name val="Arial"/>
      <family val="2"/>
      <charset val="0"/>
    </font>
    <font>
      <b/>
      <sz val="11"/>
      <color theme="1" tint="0.14999847407452621"/>
      <name val="Arial"/>
      <family val="2"/>
      <charset val="0"/>
    </font>
    <font>
      <sz val="12"/>
      <color theme="1"/>
      <name val="Century Gothic"/>
      <family val="2"/>
      <charset val="0"/>
    </font>
    <font>
      <sz val="8"/>
      <color theme="2" tint="-0.249977111117893"/>
      <name val="Calibri"/>
      <family val="2"/>
      <charset val="0"/>
      <scheme val="minor"/>
    </font>
    <font>
      <b/>
      <i/>
      <sz val="8"/>
      <color theme="2" tint="-0.249977111117893"/>
      <name val="Calibri"/>
      <family val="2"/>
      <charset val="0"/>
      <scheme val="minor"/>
    </font>
    <font>
      <i/>
      <sz val="8"/>
      <color theme="2" tint="-0.249977111117893"/>
      <name val="Calibri"/>
      <family val="2"/>
      <charset val="0"/>
      <scheme val="minor"/>
    </font>
    <font>
      <sz val="8"/>
      <name val="Calibri"/>
      <family val="2"/>
      <charset val="0"/>
      <scheme val="minor"/>
    </font>
    <font>
      <b/>
      <u val="single"/>
      <sz val="14"/>
      <color rgb="FF000000"/>
      <name val="Arial"/>
      <family val="2"/>
      <charset val="0"/>
    </font>
    <font>
      <b/>
      <sz val="11"/>
      <color rgb="FF000000"/>
      <name val="Arial"/>
      <family val="2"/>
      <charset val="0"/>
    </font>
    <font>
      <u val="single"/>
      <sz val="11"/>
      <color theme="10"/>
      <name val="Arial"/>
      <family val="2"/>
      <charset val="0"/>
    </font>
    <font>
      <b/>
      <sz val="18"/>
      <color theme="0"/>
      <name val="Century Gothic"/>
      <family val="2"/>
      <charset val="0"/>
    </font>
    <font>
      <sz val="12"/>
      <color rgb="FF000000"/>
      <name val="Arial"/>
      <family val="2"/>
      <charset val="0"/>
    </font>
    <font>
      <b/>
      <sz val="14"/>
      <color theme="1"/>
      <name val="Century Gothic"/>
      <family val="2"/>
      <charset val="0"/>
    </font>
    <font>
      <b/>
      <sz val="24"/>
      <color theme="0"/>
      <name val="Century Gothic"/>
      <family val="2"/>
      <charset val="0"/>
    </font>
    <font>
      <sz val="24"/>
      <color theme="0"/>
      <name val="Century Gothic"/>
      <family val="2"/>
      <charset val="0"/>
    </font>
    <font>
      <sz val="11"/>
      <color theme="6" tint="0.79998168889431442"/>
      <name val="Calibri"/>
      <family val="2"/>
      <charset val="0"/>
      <scheme val="minor"/>
    </font>
    <font>
      <sz val="11"/>
      <color theme="6" tint="0.79998168889431442"/>
      <name val="Gill Sans MT"/>
      <family val="2"/>
      <charset val="0"/>
    </font>
    <font>
      <u val="single"/>
      <sz val="11"/>
      <color theme="10"/>
      <name val="Segoe UI"/>
      <family val="2"/>
      <charset val="0"/>
    </font>
    <font>
      <b/>
      <sz val="18"/>
      <color indexed="8"/>
      <name val="Century Gothic"/>
      <family val="2"/>
      <charset val="0"/>
    </font>
    <font>
      <b/>
      <sz val="18"/>
      <color indexed="8"/>
      <name val="Century Gothic"/>
      <family val="2"/>
      <charset val="0"/>
    </font>
    <font>
      <b/>
      <sz val="18"/>
      <color rgb="00449669"/>
      <name val="Century Gothic"/>
      <family val="2"/>
      <charset val="0"/>
    </font>
    <font>
      <b/>
      <sz val="18"/>
      <color rgb="00449669"/>
      <name val="Century Gothic"/>
      <family val="2"/>
      <charset val="0"/>
    </font>
    <font>
      <b/>
      <sz val="18"/>
      <color rgb="00449669"/>
      <name val="+mn-lt"/>
      <family val="2"/>
      <charset val="0"/>
    </font>
    <font>
      <b/>
      <sz val="12"/>
      <color rgb="00767171"/>
      <name val="Arial"/>
      <family val="2"/>
      <charset val="0"/>
    </font>
    <font>
      <b/>
      <sz val="12"/>
      <color rgb="00767171"/>
      <name val="Arial"/>
      <family val="2"/>
      <charset val="0"/>
    </font>
    <font>
      <sz val="11"/>
      <color indexed="8"/>
      <name val="Arial"/>
      <family val="2"/>
      <charset val="0"/>
    </font>
    <font>
      <b/>
      <sz val="11"/>
      <color indexed="8"/>
      <name val="Arial"/>
      <family val="2"/>
      <charset val="0"/>
    </font>
    <font>
      <b/>
      <sz val="11"/>
      <color indexed="8"/>
      <name val="Arial"/>
      <family val="2"/>
      <charset val="0"/>
    </font>
    <font>
      <sz val="11"/>
      <color indexed="8"/>
      <name val="Arial"/>
      <family val="2"/>
      <charset val="0"/>
    </font>
    <font>
      <b/>
      <sz val="11"/>
      <color indexed="8"/>
      <name val="Arial"/>
      <family val="2"/>
      <charset val="0"/>
    </font>
    <font>
      <b/>
      <sz val="11"/>
      <color indexed="8"/>
      <name val="Arial"/>
      <family val="2"/>
      <charset val="0"/>
    </font>
    <font>
      <sz val="11"/>
      <color indexed="8"/>
      <name val="Arial"/>
      <family val="2"/>
      <charset val="0"/>
    </font>
    <font>
      <b/>
      <sz val="11"/>
      <color indexed="8"/>
      <name val="Arial"/>
      <family val="2"/>
      <charset val="0"/>
    </font>
    <font>
      <b/>
      <sz val="11"/>
      <color indexed="8"/>
      <name val="Arial"/>
      <family val="2"/>
      <charset val="0"/>
    </font>
    <font>
      <sz val="11"/>
      <color indexed="8"/>
      <name val="Arial"/>
      <family val="2"/>
      <charset val="0"/>
    </font>
    <font>
      <b/>
      <sz val="11"/>
      <color indexed="8"/>
      <name val="Arial"/>
      <family val="2"/>
      <charset val="0"/>
    </font>
    <font>
      <b/>
      <sz val="11"/>
      <color indexed="8"/>
      <name val="Arial"/>
      <family val="2"/>
      <charset val="0"/>
    </font>
    <font>
      <sz val="11"/>
      <color indexed="8"/>
      <name val="Arial"/>
      <family val="2"/>
      <charset val="0"/>
    </font>
    <font>
      <b/>
      <sz val="18"/>
      <color rgb="00449669"/>
      <name val="Century Gothic"/>
      <family val="2"/>
      <charset val="0"/>
    </font>
    <font>
      <b/>
      <sz val="18"/>
      <color rgb="00449669"/>
      <name val="Century Gothic"/>
      <family val="2"/>
      <charset val="0"/>
    </font>
    <font>
      <b/>
      <sz val="12"/>
      <color rgb="00000000"/>
      <name val="Century Gothic"/>
      <family val="2"/>
      <charset val="0"/>
    </font>
    <font>
      <b/>
      <sz val="12"/>
      <color rgb="00000000"/>
      <name val="Century Gothic"/>
      <family val="2"/>
      <charset val="0"/>
    </font>
    <font>
      <b/>
      <sz val="12"/>
      <color rgb="00000000"/>
      <name val="Century Gothic"/>
      <family val="2"/>
      <charset val="0"/>
    </font>
    <font>
      <b/>
      <sz val="11"/>
      <color indexed="8"/>
      <name val="Arial"/>
      <family val="2"/>
      <charset val="0"/>
    </font>
    <font>
      <b/>
      <sz val="11"/>
      <color indexed="8"/>
      <name val="Arial"/>
      <family val="2"/>
      <charset val="0"/>
    </font>
    <font>
      <sz val="11"/>
      <color indexed="8"/>
      <name val="Arial"/>
      <family val="2"/>
      <charset val="0"/>
    </font>
    <font>
      <b/>
      <sz val="11"/>
      <color indexed="8"/>
      <name val="Arial"/>
      <family val="2"/>
      <charset val="0"/>
    </font>
    <font>
      <b/>
      <sz val="11"/>
      <color indexed="8"/>
      <name val="Arial"/>
      <family val="2"/>
      <charset val="0"/>
    </font>
    <font>
      <sz val="11"/>
      <color indexed="8"/>
      <name val="Arial"/>
      <family val="2"/>
      <charset val="0"/>
    </font>
    <font>
      <b/>
      <sz val="11"/>
      <color indexed="8"/>
      <name val="Arial"/>
      <family val="2"/>
      <charset val="0"/>
    </font>
    <font>
      <b/>
      <sz val="11"/>
      <color indexed="8"/>
      <name val="Arial"/>
      <family val="2"/>
      <charset val="0"/>
    </font>
    <font>
      <sz val="11"/>
      <color indexed="8"/>
      <name val="Arial"/>
      <family val="2"/>
      <charset val="0"/>
    </font>
    <font>
      <b/>
      <sz val="11"/>
      <color indexed="8"/>
      <name val="Arial"/>
      <family val="2"/>
      <charset val="0"/>
    </font>
    <font>
      <b/>
      <sz val="11"/>
      <color indexed="8"/>
      <name val="Arial"/>
      <family val="2"/>
      <charset val="0"/>
    </font>
    <font>
      <sz val="11"/>
      <color indexed="8"/>
      <name val="Arial"/>
      <family val="2"/>
      <charset val="0"/>
    </font>
  </fonts>
  <fills count="7">
    <fill>
      <patternFill patternType="none">
        <fgColor indexed="64"/>
        <bgColor indexed="65"/>
      </patternFill>
    </fill>
    <fill>
      <patternFill patternType="gray125">
        <fgColor indexed="64"/>
        <bgColor indexed="65"/>
      </patternFill>
    </fill>
    <fill>
      <patternFill patternType="solid">
        <fgColor theme="0"/>
        <bgColor indexed="64"/>
      </patternFill>
    </fill>
    <fill>
      <patternFill patternType="solid">
        <fgColor rgb="FFF7E8BE"/>
        <bgColor indexed="64"/>
      </patternFill>
    </fill>
    <fill>
      <patternFill patternType="solid">
        <fgColor theme="6" tint="0.79998168889431442"/>
        <bgColor indexed="64"/>
      </patternFill>
    </fill>
    <fill>
      <patternFill patternType="solid">
        <fgColor rgb="FF9DD3BE"/>
        <bgColor indexed="64"/>
      </patternFill>
    </fill>
    <fill>
      <patternFill patternType="solid">
        <fgColor rgb="FF449669"/>
        <bgColor indexed="64"/>
      </patternFill>
    </fill>
  </fills>
  <borders count="24">
    <border>
      <left/>
      <right/>
      <top/>
      <bottom/>
      <diagonal/>
    </border>
    <border>
      <left/>
      <right/>
      <top/>
      <bottom style="thick">
        <color rgb="FF449669"/>
      </bottom>
      <diagonal/>
    </border>
    <border>
      <left/>
      <right/>
      <top style="thick">
        <color rgb="FF449669"/>
      </top>
      <bottom style="thick">
        <color rgb="FF449669"/>
      </bottom>
      <diagonal/>
    </border>
    <border>
      <left/>
      <right/>
      <top style="thick">
        <color rgb="FF449669"/>
      </top>
      <bottom/>
      <diagonal/>
    </border>
    <border>
      <left style="thick">
        <color rgb="FF449669"/>
      </left>
      <right style="thick">
        <color rgb="FF449669"/>
      </right>
      <top/>
      <bottom style="thick">
        <color rgb="FF449669"/>
      </bottom>
      <diagonal/>
    </border>
    <border>
      <left/>
      <right style="thick">
        <color rgb="FF449669"/>
      </right>
      <top/>
      <bottom style="thick">
        <color rgb="FF449669"/>
      </bottom>
      <diagonal/>
    </border>
    <border>
      <left/>
      <right style="thick">
        <color rgb="FF449669"/>
      </right>
      <top/>
      <bottom/>
      <diagonal/>
    </border>
    <border>
      <left style="thick">
        <color rgb="FF449669"/>
      </left>
      <right/>
      <top/>
      <bottom style="thick">
        <color rgb="FF449669"/>
      </bottom>
      <diagonal/>
    </border>
    <border>
      <left style="thick">
        <color rgb="FF449669"/>
      </left>
      <right/>
      <top/>
      <bottom/>
      <diagonal/>
    </border>
    <border>
      <left style="thick">
        <color rgb="FF449669"/>
      </left>
      <right style="thick">
        <color rgb="FF449669"/>
      </right>
      <top/>
      <bottom/>
      <diagonal/>
    </border>
    <border>
      <left/>
      <right/>
      <top/>
      <bottom style="medium">
        <color rgb="FF449669"/>
      </bottom>
      <diagonal/>
    </border>
    <border>
      <left/>
      <right/>
      <top style="medium">
        <color rgb="FF449669"/>
      </top>
      <bottom/>
      <diagonal/>
    </border>
    <border>
      <left/>
      <right/>
      <top style="medium">
        <color rgb="FF449669"/>
      </top>
      <bottom style="medium">
        <color rgb="FF449669"/>
      </bottom>
      <diagonal/>
    </border>
    <border>
      <left/>
      <right style="medium">
        <color rgb="FF449669"/>
      </right>
      <top/>
      <bottom/>
      <diagonal/>
    </border>
    <border>
      <left/>
      <right style="medium">
        <color rgb="FF449669"/>
      </right>
      <top/>
      <bottom style="medium">
        <color rgb="FF449669"/>
      </bottom>
      <diagonal/>
    </border>
    <border>
      <left style="medium">
        <color rgb="FF449669"/>
      </left>
      <right style="medium">
        <color rgb="FF449669"/>
      </right>
      <top/>
      <bottom style="medium">
        <color rgb="FF449669"/>
      </bottom>
      <diagonal/>
    </border>
    <border>
      <left/>
      <right style="medium">
        <color rgb="FF449669"/>
      </right>
      <top style="medium">
        <color rgb="FF449669"/>
      </top>
      <bottom/>
      <diagonal/>
    </border>
    <border>
      <left style="medium">
        <color rgb="FF449669"/>
      </left>
      <right style="medium">
        <color rgb="FF449669"/>
      </right>
      <top/>
      <bottom/>
      <diagonal/>
    </border>
    <border>
      <left style="medium">
        <color rgb="FF449669"/>
      </left>
      <right style="medium">
        <color rgb="FF449669"/>
      </right>
      <top style="medium">
        <color rgb="FF449669"/>
      </top>
      <bottom/>
      <diagonal/>
    </border>
    <border>
      <left style="thick">
        <color rgb="FF449669"/>
      </left>
      <right style="thick">
        <color rgb="FF449669"/>
      </right>
      <top style="thick">
        <color rgb="FF449669"/>
      </top>
      <bottom/>
      <diagonal/>
    </border>
    <border>
      <left style="medium">
        <color rgb="FF449669"/>
      </left>
      <right/>
      <top/>
      <bottom style="medium">
        <color rgb="FF449669"/>
      </bottom>
      <diagonal/>
    </border>
    <border>
      <left style="thick">
        <color rgb="FF449669"/>
      </left>
      <right/>
      <top style="thick">
        <color rgb="FF449669"/>
      </top>
      <bottom/>
      <diagonal/>
    </border>
    <border>
      <left/>
      <right style="thick">
        <color rgb="FF449669"/>
      </right>
      <top style="thick">
        <color rgb="FF449669"/>
      </top>
      <bottom/>
      <diagonal/>
    </border>
    <border>
      <left style="medium">
        <color rgb="FF449669"/>
      </left>
      <right/>
      <top style="medium">
        <color rgb="FF449669"/>
      </top>
      <bottom/>
      <diagonal/>
    </border>
  </borders>
  <cellStyleXfs count="279">
    <xf numFmtId="0" fontId="0" fillId="0" borderId="0"/>
    <xf numFmtId="0" fontId="2" fillId="0" borderId="0" applyAlignment="0" applyBorder="0" applyNumberFormat="0" applyFill="0" applyProtection="0"/>
  </cellStyleXfs>
  <cellXfs>
    <xf numFmtId="0" fontId="0" fillId="0" borderId="0" xfId="0"/>
    <xf numFmtId="0" fontId="0" fillId="2" borderId="0" xfId="0" applyFill="1"/>
    <xf numFmtId="0" fontId="1" fillId="2" borderId="0" xfId="0" applyFont="1" applyFill="1"/>
    <xf numFmtId="0" fontId="7" fillId="2" borderId="0" xfId="0" applyAlignment="1" applyBorder="1" applyFont="1" applyFill="1">
      <alignment horizontal="left"/>
    </xf>
    <xf numFmtId="0" fontId="0" fillId="2" borderId="0" xfId="0" applyBorder="1" applyFill="1"/>
    <xf numFmtId="0" fontId="8" fillId="2" borderId="0" xfId="0" applyAlignment="1" applyBorder="1" applyFont="1" applyFill="1">
      <alignment horizontal="left"/>
    </xf>
    <xf numFmtId="0" fontId="9" fillId="2" borderId="0" xfId="0" applyAlignment="1" applyBorder="1" applyFont="1" applyFill="1">
      <alignment horizontal="left"/>
    </xf>
    <xf numFmtId="14" fontId="7" fillId="2" borderId="0" xfId="0" applyAlignment="1" applyBorder="1" applyFont="1" applyNumberFormat="1" applyFill="1">
      <alignment vertical="center" wrapText="1"/>
    </xf>
    <xf numFmtId="0" fontId="7" fillId="2" borderId="0" xfId="0" applyAlignment="1" applyBorder="1" applyFont="1" applyFill="1">
      <alignment vertical="center"/>
    </xf>
    <xf numFmtId="0" fontId="7" fillId="2" borderId="0" xfId="0" applyAlignment="1" applyBorder="1" applyFont="1" applyFill="1">
      <alignment vertical="center" wrapText="1"/>
    </xf>
    <xf numFmtId="0" fontId="7" fillId="2" borderId="0" xfId="0" applyAlignment="1" applyBorder="1" applyFont="1" applyFill="1">
      <alignment horizontal="left" vertical="center"/>
    </xf>
    <xf numFmtId="0" fontId="9" fillId="2" borderId="0" xfId="0" applyAlignment="1" applyBorder="1" applyFont="1" applyFill="1">
      <alignment horizontal="left" vertical="center"/>
    </xf>
    <xf numFmtId="0" fontId="7" fillId="2" borderId="0" xfId="0" applyAlignment="1" applyBorder="1" applyFont="1" applyFill="1">
      <alignment horizontal="center" vertical="center"/>
    </xf>
    <xf numFmtId="2" fontId="7" fillId="2" borderId="0" xfId="0" applyAlignment="1" applyBorder="1" applyFont="1" applyNumberFormat="1" applyFill="1">
      <alignment horizontal="center" vertical="center"/>
    </xf>
    <xf numFmtId="2" fontId="9" fillId="2" borderId="0" xfId="0" applyAlignment="1" applyBorder="1" applyFont="1" applyNumberFormat="1" applyFill="1">
      <alignment horizontal="center" vertical="center"/>
    </xf>
    <xf numFmtId="0" fontId="12" fillId="2" borderId="1" xfId="0" applyBorder="1" applyFont="1" applyFill="1"/>
    <xf numFmtId="0" fontId="13" fillId="2" borderId="0" xfId="0" applyAlignment="1" applyBorder="1" applyFont="1" applyFill="1">
      <alignment horizontal="left" vertical="center" wrapText="1"/>
    </xf>
    <xf numFmtId="0" fontId="13" fillId="2" borderId="2" xfId="0" applyAlignment="1" applyBorder="1" applyFont="1" applyFill="1">
      <alignment horizontal="left" vertical="center" wrapText="1"/>
    </xf>
    <xf numFmtId="0" fontId="13" fillId="2" borderId="3" xfId="0" applyAlignment="1" applyBorder="1" applyFont="1" applyFill="1">
      <alignment horizontal="left" vertical="center" wrapText="1"/>
    </xf>
    <xf numFmtId="2" fontId="16" fillId="2" borderId="0" xfId="0" applyAlignment="1" applyBorder="1" applyFont="1" applyNumberFormat="1" applyFill="1">
      <alignment horizontal="center" vertical="center"/>
    </xf>
    <xf numFmtId="0" fontId="12" fillId="2" borderId="0" xfId="0" applyAlignment="1" applyBorder="1" applyFont="1" applyFill="1">
      <alignment horizontal="left" vertical="center"/>
    </xf>
    <xf numFmtId="2" fontId="12" fillId="3" borderId="0" xfId="0" applyAlignment="1" applyBorder="1" applyFont="1" applyNumberFormat="1" applyFill="1">
      <alignment horizontal="center" vertical="center"/>
    </xf>
    <xf numFmtId="2" fontId="12" fillId="2" borderId="0" xfId="0" applyAlignment="1" applyBorder="1" applyFont="1" applyNumberFormat="1" applyFill="1">
      <alignment horizontal="center" vertical="center"/>
    </xf>
    <xf numFmtId="0" fontId="16" fillId="2" borderId="0" xfId="0" applyFont="1" applyFill="1"/>
    <xf numFmtId="2" fontId="16" fillId="3" borderId="1" xfId="0" applyAlignment="1" applyBorder="1" applyFont="1" applyNumberFormat="1" applyFill="1">
      <alignment horizontal="left" vertical="center" wrapText="1"/>
    </xf>
    <xf numFmtId="14" fontId="16" fillId="2" borderId="0" xfId="0" applyAlignment="1" applyBorder="1" applyFont="1" applyNumberFormat="1" applyFill="1">
      <alignment vertical="center" wrapText="1"/>
    </xf>
    <xf numFmtId="0" fontId="16" fillId="2" borderId="0" xfId="0" applyAlignment="1" applyBorder="1" applyFont="1" applyFill="1">
      <alignment vertical="center"/>
    </xf>
    <xf numFmtId="0" fontId="16" fillId="2" borderId="0" xfId="0" applyAlignment="1" applyBorder="1" applyFont="1" applyFill="1">
      <alignment vertical="center" wrapText="1"/>
    </xf>
    <xf numFmtId="0" fontId="16" fillId="2" borderId="0" xfId="0" applyAlignment="1" applyBorder="1" applyFont="1" applyFill="1">
      <alignment horizontal="left" vertical="center"/>
    </xf>
    <xf numFmtId="2" fontId="16" fillId="2" borderId="0" xfId="0" applyAlignment="1" applyBorder="1" applyFont="1" applyNumberFormat="1" applyFill="1">
      <alignment horizontal="left" vertical="center"/>
    </xf>
    <xf numFmtId="0" fontId="16" fillId="2" borderId="0" xfId="0" applyBorder="1" applyFont="1" applyFill="1"/>
    <xf numFmtId="0" fontId="14" fillId="2" borderId="0" xfId="0" applyAlignment="1" applyBorder="1" applyFont="1" applyFill="1">
      <alignment horizontal="left" vertical="center"/>
    </xf>
    <xf numFmtId="0" fontId="16" fillId="4" borderId="0" xfId="0" applyFont="1" applyFill="1"/>
    <xf numFmtId="0" fontId="13" fillId="4" borderId="4" xfId="0" applyAlignment="1" applyBorder="1" applyFont="1" applyFill="1">
      <alignment horizontal="left" vertical="center"/>
    </xf>
    <xf numFmtId="0" fontId="13" fillId="4" borderId="5" xfId="0" applyAlignment="1" applyBorder="1" applyFont="1" applyFill="1">
      <alignment horizontal="left" vertical="center"/>
    </xf>
    <xf numFmtId="0" fontId="13" fillId="4" borderId="5" xfId="0" applyAlignment="1" applyBorder="1" applyFont="1" applyFill="1">
      <alignment horizontal="left" vertical="center" wrapText="1"/>
    </xf>
    <xf numFmtId="0" fontId="16" fillId="4" borderId="6" xfId="0" applyAlignment="1" applyBorder="1" applyFont="1" applyFill="1">
      <alignment horizontal="left" vertical="center"/>
    </xf>
    <xf numFmtId="2" fontId="16" fillId="4" borderId="0" xfId="0" applyAlignment="1" applyBorder="1" applyFont="1" applyNumberFormat="1" applyFill="1">
      <alignment horizontal="left" vertical="center"/>
    </xf>
    <xf numFmtId="0" fontId="12" fillId="4" borderId="1" xfId="0" applyAlignment="1" applyBorder="1" applyFont="1" applyFill="1">
      <alignment horizontal="left" vertical="center"/>
    </xf>
    <xf numFmtId="0" fontId="16" fillId="4" borderId="0" xfId="0" applyAlignment="1" applyBorder="1" applyFont="1" applyFill="1">
      <alignment horizontal="left" vertical="center"/>
    </xf>
    <xf numFmtId="0" fontId="17" fillId="4" borderId="0" xfId="0" applyAlignment="1" applyBorder="1" applyFont="1" applyFill="1">
      <alignment horizontal="left" vertical="center"/>
    </xf>
    <xf numFmtId="0" fontId="16" fillId="4" borderId="0" xfId="0" applyBorder="1" applyFont="1" applyFill="1"/>
    <xf numFmtId="0" fontId="13" fillId="4" borderId="7" xfId="0" applyAlignment="1" applyBorder="1" applyFont="1" applyFill="1">
      <alignment horizontal="left" vertical="center" wrapText="1"/>
    </xf>
    <xf numFmtId="0" fontId="16" fillId="4" borderId="8" xfId="0" applyAlignment="1" applyBorder="1" applyFont="1" applyFill="1">
      <alignment horizontal="left" vertical="center"/>
    </xf>
    <xf numFmtId="0" fontId="13" fillId="4" borderId="7" xfId="0" applyAlignment="1" applyBorder="1" applyFont="1" applyFill="1">
      <alignment horizontal="left" vertical="center"/>
    </xf>
    <xf numFmtId="49" fontId="16" fillId="4" borderId="6" xfId="0" applyAlignment="1" applyBorder="1" applyFont="1" applyNumberFormat="1" applyFill="1">
      <alignment horizontal="left" vertical="center"/>
    </xf>
    <xf numFmtId="0" fontId="16" fillId="4" borderId="9" xfId="0" applyAlignment="1" applyBorder="1" applyFont="1" applyFill="1">
      <alignment horizontal="left" vertical="center"/>
    </xf>
    <xf numFmtId="2" fontId="16" fillId="4" borderId="8" xfId="0" applyAlignment="1" applyBorder="1" applyFont="1" applyNumberFormat="1" applyFill="1">
      <alignment horizontal="left" vertical="center"/>
    </xf>
    <xf numFmtId="0" fontId="13" fillId="4" borderId="4" xfId="0" applyAlignment="1" applyBorder="1" applyFont="1" applyFill="1">
      <alignment horizontal="left" vertical="center" wrapText="1"/>
    </xf>
    <xf numFmtId="0" fontId="14" fillId="4" borderId="6" xfId="0" applyAlignment="1" applyBorder="1" applyFont="1" applyFill="1">
      <alignment horizontal="left" vertical="center"/>
    </xf>
    <xf numFmtId="2" fontId="16" fillId="4" borderId="6" xfId="0" applyAlignment="1" applyBorder="1" applyFont="1" applyNumberFormat="1" applyFill="1">
      <alignment horizontal="left" vertical="center"/>
    </xf>
    <xf numFmtId="0" fontId="5" fillId="4" borderId="9" xfId="0" applyAlignment="1" applyBorder="1" applyFont="1" applyFill="1">
      <alignment horizontal="left" vertical="center"/>
    </xf>
    <xf numFmtId="0" fontId="3" fillId="4" borderId="9" xfId="0" applyAlignment="1" applyBorder="1" applyFont="1" applyFill="1">
      <alignment horizontal="left" vertical="center"/>
    </xf>
    <xf numFmtId="0" fontId="14" fillId="4" borderId="9" xfId="0" applyAlignment="1" applyBorder="1" applyFont="1" applyFill="1">
      <alignment horizontal="left" vertical="center"/>
    </xf>
    <xf numFmtId="2" fontId="5" fillId="4" borderId="9" xfId="0" applyAlignment="1" applyBorder="1" applyFont="1" applyNumberFormat="1" applyFill="1">
      <alignment horizontal="left" vertical="center"/>
    </xf>
    <xf numFmtId="2" fontId="14" fillId="3" borderId="1" xfId="0" applyAlignment="1" applyBorder="1" applyFont="1" applyNumberFormat="1" applyFill="1">
      <alignment horizontal="left" vertical="center"/>
    </xf>
    <xf numFmtId="2" fontId="16" fillId="3" borderId="2" xfId="0" applyAlignment="1" applyBorder="1" applyFont="1" applyNumberFormat="1" applyFill="1">
      <alignment horizontal="left" vertical="center"/>
    </xf>
    <xf numFmtId="2" fontId="16" fillId="3" borderId="3" xfId="0" applyAlignment="1" applyBorder="1" applyFont="1" applyNumberFormat="1" applyFill="1">
      <alignment horizontal="left" vertical="center" wrapText="1"/>
    </xf>
    <xf numFmtId="2" fontId="12" fillId="2" borderId="0" xfId="0" applyAlignment="1" applyFont="1" applyNumberFormat="1" applyFill="1">
      <alignment vertical="center"/>
    </xf>
    <xf numFmtId="0" fontId="20" fillId="2" borderId="0" xfId="0" applyAlignment="1" applyBorder="1" applyFont="1" applyFill="1">
      <alignment horizontal="left" vertical="center" wrapText="1"/>
    </xf>
    <xf numFmtId="0" fontId="16" fillId="3" borderId="0" xfId="0" applyAlignment="1" applyBorder="1" applyFont="1" applyFill="1">
      <alignment horizontal="center" vertical="center"/>
    </xf>
    <xf numFmtId="0" fontId="16" fillId="2" borderId="10" xfId="0" applyAlignment="1" applyBorder="1" applyFont="1" applyFill="1">
      <alignment horizontal="left" vertical="center"/>
    </xf>
    <xf numFmtId="0" fontId="16" fillId="3" borderId="10" xfId="0" applyAlignment="1" applyBorder="1" applyFont="1" applyFill="1">
      <alignment horizontal="center" vertical="center"/>
    </xf>
    <xf numFmtId="0" fontId="16" fillId="2" borderId="11" xfId="0" applyAlignment="1" applyBorder="1" applyFont="1" applyFill="1">
      <alignment horizontal="left" vertical="center"/>
    </xf>
    <xf numFmtId="0" fontId="12" fillId="2" borderId="11" xfId="0" applyAlignment="1" applyBorder="1" applyFont="1" applyFill="1">
      <alignment horizontal="left" vertical="center"/>
    </xf>
    <xf numFmtId="2" fontId="16" fillId="3" borderId="11" xfId="0" applyAlignment="1" applyBorder="1" applyFont="1" applyNumberFormat="1" applyFill="1">
      <alignment horizontal="center" vertical="center"/>
    </xf>
    <xf numFmtId="2" fontId="12" fillId="3" borderId="11" xfId="0" applyAlignment="1" applyBorder="1" applyFont="1" applyNumberFormat="1" applyFill="1">
      <alignment horizontal="center" vertical="center"/>
    </xf>
    <xf numFmtId="0" fontId="16" fillId="2" borderId="12" xfId="0" applyAlignment="1" applyBorder="1" applyFont="1" applyFill="1">
      <alignment horizontal="left" vertical="center"/>
    </xf>
    <xf numFmtId="0" fontId="16" fillId="3" borderId="12" xfId="0" applyAlignment="1" applyBorder="1" applyFont="1" applyFill="1">
      <alignment horizontal="center" vertical="center"/>
    </xf>
    <xf numFmtId="2" fontId="16" fillId="3" borderId="12" xfId="0" applyAlignment="1" applyBorder="1" applyFont="1" applyNumberFormat="1" applyFill="1">
      <alignment horizontal="center" vertical="center"/>
    </xf>
    <xf numFmtId="0" fontId="13" fillId="2" borderId="11" xfId="0" applyAlignment="1" applyBorder="1" applyFont="1" applyFill="1">
      <alignment horizontal="left" vertical="center" wrapText="1"/>
    </xf>
    <xf numFmtId="0" fontId="13" fillId="2" borderId="10" xfId="0" applyAlignment="1" applyBorder="1" applyFont="1" applyFill="1">
      <alignment horizontal="left" vertical="center" wrapText="1"/>
    </xf>
    <xf numFmtId="0" fontId="12" fillId="2" borderId="10" xfId="0" applyBorder="1" applyFont="1" applyFill="1"/>
    <xf numFmtId="0" fontId="13" fillId="2" borderId="12" xfId="0" applyAlignment="1" applyBorder="1" applyFont="1" applyFill="1">
      <alignment horizontal="left" vertical="center" wrapText="1"/>
    </xf>
    <xf numFmtId="0" fontId="20" fillId="2" borderId="10" xfId="0" applyAlignment="1" applyBorder="1" applyFont="1" applyFill="1">
      <alignment horizontal="left" vertical="center" wrapText="1"/>
    </xf>
    <xf numFmtId="0" fontId="12" fillId="2" borderId="13" xfId="0" applyAlignment="1" applyBorder="1" applyFont="1" applyFill="1">
      <alignment horizontal="right"/>
    </xf>
    <xf numFmtId="0" fontId="12" fillId="2" borderId="14" xfId="0" applyAlignment="1" applyBorder="1" applyFont="1" applyFill="1">
      <alignment horizontal="left" vertical="center" wrapText="1"/>
    </xf>
    <xf numFmtId="0" fontId="12" fillId="2" borderId="15" xfId="0" applyAlignment="1" applyBorder="1" applyFont="1" applyFill="1">
      <alignment horizontal="left" vertical="center" wrapText="1"/>
    </xf>
    <xf numFmtId="0" fontId="12" fillId="2" borderId="10" xfId="0" applyAlignment="1" applyBorder="1" applyFont="1" applyFill="1">
      <alignment horizontal="left" vertical="center" wrapText="1"/>
    </xf>
    <xf numFmtId="0" fontId="12" fillId="2" borderId="16" xfId="0" applyAlignment="1" applyBorder="1" applyFont="1" applyFill="1">
      <alignment horizontal="right"/>
    </xf>
    <xf numFmtId="0" fontId="12" fillId="2" borderId="14" xfId="0" applyAlignment="1" applyBorder="1" applyFont="1" applyFill="1">
      <alignment horizontal="left" vertical="center"/>
    </xf>
    <xf numFmtId="0" fontId="16" fillId="3" borderId="10" xfId="0" applyAlignment="1" applyBorder="1" applyFont="1" applyFill="1">
      <alignment horizontal="center" vertical="center" wrapText="1"/>
    </xf>
    <xf numFmtId="0" fontId="16" fillId="3" borderId="0" xfId="0" applyAlignment="1" applyBorder="1" applyFont="1" applyFill="1">
      <alignment horizontal="center" vertical="center" wrapText="1"/>
    </xf>
    <xf numFmtId="0" fontId="25" fillId="2" borderId="0" xfId="0" applyAlignment="1" applyBorder="1" applyFont="1" applyFill="1">
      <alignment vertical="center" wrapText="1"/>
    </xf>
    <xf numFmtId="14" fontId="12" fillId="2" borderId="0" xfId="0" applyAlignment="1" applyBorder="1" applyFont="1" applyNumberFormat="1" applyFill="1">
      <alignment vertical="center" wrapText="1"/>
    </xf>
    <xf numFmtId="0" fontId="12" fillId="2" borderId="0" xfId="0" applyAlignment="1" applyBorder="1" applyFont="1" applyFill="1">
      <alignment vertical="center" wrapText="1"/>
    </xf>
    <xf numFmtId="0" fontId="11" fillId="2" borderId="0" xfId="0" applyAlignment="1" applyBorder="1" applyFont="1" applyFill="1">
      <alignment horizontal="center" vertical="center" wrapText="1"/>
    </xf>
    <xf numFmtId="0" fontId="0" fillId="2" borderId="0" xfId="0" applyAlignment="1" applyFill="1">
      <alignment horizontal="left"/>
    </xf>
    <xf numFmtId="2" fontId="12" fillId="2" borderId="0" xfId="0" applyAlignment="1" applyBorder="1" applyFont="1" applyNumberFormat="1" applyFill="1">
      <alignment horizontal="left" vertical="center"/>
    </xf>
    <xf numFmtId="2" fontId="16" fillId="3" borderId="10" xfId="0" applyAlignment="1" applyBorder="1" applyFont="1" applyNumberFormat="1" applyFill="1">
      <alignment horizontal="center" vertical="center"/>
    </xf>
    <xf numFmtId="0" fontId="23" fillId="2" borderId="0" xfId="0" applyBorder="1" applyFont="1" applyFill="1"/>
    <xf numFmtId="0" fontId="23" fillId="2" borderId="0" xfId="0" applyAlignment="1" applyBorder="1" applyFont="1" applyFill="1">
      <alignment horizontal="left"/>
    </xf>
    <xf numFmtId="0" fontId="27" fillId="2" borderId="0" xfId="0" applyAlignment="1" applyBorder="1" applyFont="1" applyFill="1">
      <alignment horizontal="left" vertical="center"/>
    </xf>
    <xf numFmtId="2" fontId="27" fillId="2" borderId="0" xfId="0" applyAlignment="1" applyBorder="1" applyFont="1" applyNumberFormat="1" applyFill="1">
      <alignment horizontal="left" vertical="center"/>
    </xf>
    <xf numFmtId="0" fontId="28" fillId="2" borderId="0" xfId="0" applyAlignment="1" applyBorder="1" applyFont="1" applyFill="1">
      <alignment horizontal="left" vertical="center"/>
    </xf>
    <xf numFmtId="2" fontId="28" fillId="2" borderId="0" xfId="0" applyAlignment="1" applyBorder="1" applyFont="1" applyNumberFormat="1" applyFill="1">
      <alignment horizontal="left" vertical="center"/>
    </xf>
    <xf numFmtId="0" fontId="27" fillId="2" borderId="0" xfId="0" applyAlignment="1" applyBorder="1" applyFont="1" applyFill="1">
      <alignment horizontal="center" vertical="center"/>
    </xf>
    <xf numFmtId="2" fontId="27" fillId="2" borderId="0" xfId="0" applyAlignment="1" applyBorder="1" applyFont="1" applyNumberFormat="1" applyFill="1">
      <alignment horizontal="center" vertical="center"/>
    </xf>
    <xf numFmtId="2" fontId="28" fillId="2" borderId="0" xfId="0" applyAlignment="1" applyBorder="1" applyFont="1" applyNumberFormat="1" applyFill="1">
      <alignment horizontal="center" vertical="center"/>
    </xf>
    <xf numFmtId="2" fontId="14" fillId="3" borderId="10" xfId="0" applyAlignment="1" applyBorder="1" applyFont="1" applyNumberFormat="1" applyFill="1">
      <alignment horizontal="center" vertical="center"/>
    </xf>
    <xf numFmtId="2" fontId="16" fillId="3" borderId="12" xfId="0" applyAlignment="1" applyBorder="1" applyFont="1" applyNumberFormat="1" applyFill="1" quotePrefix="1">
      <alignment horizontal="center" vertical="center" wrapText="1"/>
    </xf>
    <xf numFmtId="2" fontId="16" fillId="3" borderId="0" xfId="0" applyAlignment="1" applyBorder="1" applyFont="1" applyNumberFormat="1" applyFill="1">
      <alignment horizontal="center" vertical="center" wrapText="1"/>
    </xf>
    <xf numFmtId="2" fontId="16" fillId="3" borderId="12" xfId="0" applyAlignment="1" applyBorder="1" applyFont="1" applyNumberFormat="1" applyFill="1">
      <alignment horizontal="center" vertical="center" wrapText="1"/>
    </xf>
    <xf numFmtId="2" fontId="12" fillId="2" borderId="0" xfId="0" applyAlignment="1" applyBorder="1" applyFont="1" applyNumberFormat="1" applyFill="1">
      <alignment vertical="center"/>
    </xf>
    <xf numFmtId="0" fontId="12" fillId="3" borderId="17" xfId="0" applyAlignment="1" applyBorder="1" applyFont="1" applyFill="1">
      <alignment horizontal="right"/>
    </xf>
    <xf numFmtId="2" fontId="12" fillId="3" borderId="17" xfId="0" applyAlignment="1" applyBorder="1" applyFont="1" applyNumberFormat="1" applyFill="1">
      <alignment horizontal="right"/>
    </xf>
    <xf numFmtId="2" fontId="12" fillId="3" borderId="0" xfId="0" applyAlignment="1" applyFont="1" applyNumberFormat="1" applyFill="1">
      <alignment horizontal="right"/>
    </xf>
    <xf numFmtId="14" fontId="19" fillId="5" borderId="10" xfId="0" applyAlignment="1" applyBorder="1" applyFont="1" applyNumberFormat="1" applyFill="1" applyProtection="1">
      <alignment horizontal="left" vertical="center"/>
      <protection locked="0"/>
    </xf>
    <xf numFmtId="2" fontId="19" fillId="5" borderId="12" xfId="0" applyAlignment="1" applyBorder="1" applyFont="1" applyNumberFormat="1" applyFill="1" applyProtection="1">
      <alignment horizontal="left" vertical="center" wrapText="1"/>
      <protection locked="0"/>
    </xf>
    <xf numFmtId="0" fontId="19" fillId="5" borderId="12" xfId="0" applyAlignment="1" applyBorder="1" applyFont="1" applyFill="1" applyProtection="1">
      <alignment horizontal="left" vertical="center"/>
      <protection locked="0"/>
    </xf>
    <xf numFmtId="0" fontId="19" fillId="5" borderId="0" xfId="0" applyAlignment="1" applyBorder="1" applyFont="1" applyFill="1" applyProtection="1">
      <alignment horizontal="left" vertical="center"/>
      <protection locked="0"/>
    </xf>
    <xf numFmtId="0" fontId="16" fillId="5" borderId="13" xfId="0" applyAlignment="1" applyBorder="1" applyFont="1" applyFill="1" applyProtection="1">
      <alignment horizontal="left"/>
      <protection locked="0"/>
    </xf>
    <xf numFmtId="2" fontId="16" fillId="5" borderId="17" xfId="0" applyAlignment="1" applyBorder="1" applyFont="1" applyNumberFormat="1" applyFill="1" applyProtection="1">
      <alignment horizontal="left"/>
      <protection locked="0"/>
    </xf>
    <xf numFmtId="2" fontId="16" fillId="5" borderId="15" xfId="0" applyAlignment="1" applyBorder="1" applyFont="1" applyNumberFormat="1" applyFill="1" applyProtection="1">
      <alignment horizontal="left"/>
      <protection locked="0"/>
    </xf>
    <xf numFmtId="14" fontId="14" fillId="5" borderId="10" xfId="0" applyAlignment="1" applyBorder="1" applyFont="1" applyNumberFormat="1" applyFill="1" applyProtection="1">
      <alignment horizontal="center" vertical="center"/>
      <protection locked="0"/>
    </xf>
    <xf numFmtId="2" fontId="16" fillId="5" borderId="10" xfId="0" applyAlignment="1" applyBorder="1" applyFont="1" applyNumberFormat="1" applyFill="1" applyProtection="1">
      <alignment horizontal="center" vertical="center" wrapText="1"/>
      <protection locked="0"/>
    </xf>
    <xf numFmtId="0" fontId="16" fillId="5" borderId="10" xfId="0" applyAlignment="1" applyBorder="1" applyFont="1" applyFill="1" applyProtection="1">
      <alignment horizontal="center" vertical="center"/>
      <protection locked="0"/>
    </xf>
    <xf numFmtId="0" fontId="16" fillId="5" borderId="10" xfId="0" applyAlignment="1" applyBorder="1" applyFont="1" applyFill="1" applyProtection="1">
      <alignment horizontal="center" vertical="center" wrapText="1"/>
      <protection locked="0"/>
    </xf>
    <xf numFmtId="0" fontId="16" fillId="5" borderId="12" xfId="0" applyAlignment="1" applyBorder="1" applyFont="1" applyFill="1" applyProtection="1">
      <alignment horizontal="center" vertical="center" wrapText="1"/>
      <protection locked="0"/>
    </xf>
    <xf numFmtId="0" fontId="11" fillId="2" borderId="0" xfId="0" applyAlignment="1" applyBorder="1" applyFont="1" applyFill="1" applyProtection="1">
      <alignment vertical="center" wrapText="1"/>
      <protection locked="0"/>
    </xf>
    <xf numFmtId="2" fontId="14" fillId="5" borderId="13" xfId="0" applyAlignment="1" applyBorder="1" applyFont="1" applyNumberFormat="1" applyFill="1" applyProtection="1">
      <alignment horizontal="left"/>
      <protection locked="0"/>
    </xf>
    <xf numFmtId="2" fontId="14" fillId="5" borderId="13" xfId="0" applyAlignment="1" applyBorder="1" applyFont="1" applyNumberFormat="1" applyFill="1" applyProtection="1">
      <alignment horizontal="left" vertical="center"/>
      <protection locked="0"/>
    </xf>
    <xf numFmtId="2" fontId="13" fillId="5" borderId="13" xfId="0" applyAlignment="1" applyBorder="1" applyFont="1" applyNumberFormat="1" applyFill="1" applyProtection="1">
      <alignment horizontal="left" vertical="center"/>
      <protection locked="0"/>
    </xf>
    <xf numFmtId="0" fontId="16" fillId="5" borderId="14" xfId="0" applyAlignment="1" applyBorder="1" applyFont="1" applyFill="1" applyProtection="1">
      <alignment horizontal="left"/>
      <protection locked="0"/>
    </xf>
    <xf numFmtId="2" fontId="14" fillId="5" borderId="14" xfId="0" applyAlignment="1" applyBorder="1" applyFont="1" applyNumberFormat="1" applyFill="1" applyProtection="1">
      <alignment horizontal="left"/>
      <protection locked="0"/>
    </xf>
    <xf numFmtId="0" fontId="0" fillId="2" borderId="6" xfId="0" applyBorder="1" applyFill="1"/>
    <xf numFmtId="0" fontId="34" fillId="0" borderId="0" xfId="0" applyAlignment="1" applyFont="1">
      <alignment horizontal="left" vertical="top" indent="2"/>
    </xf>
    <xf numFmtId="0" fontId="16" fillId="2" borderId="7" xfId="0" applyAlignment="1" applyBorder="1" applyFont="1" applyFill="1">
      <alignment horizontal="left" vertical="top" indent="2"/>
    </xf>
    <xf numFmtId="0" fontId="16" fillId="2" borderId="1" xfId="0" applyAlignment="1" applyBorder="1" applyFont="1" applyFill="1">
      <alignment horizontal="left" vertical="top" indent="2"/>
    </xf>
    <xf numFmtId="0" fontId="12" fillId="2" borderId="8" xfId="0" applyAlignment="1" applyBorder="1" applyFont="1" applyFill="1">
      <alignment horizontal="left" vertical="top" indent="2"/>
    </xf>
    <xf numFmtId="0" fontId="34" fillId="0" borderId="0" xfId="0" applyAlignment="1" applyFont="1">
      <alignment horizontal="left" vertical="center" indent="2"/>
    </xf>
    <xf numFmtId="0" fontId="35" fillId="0" borderId="0" xfId="0" applyAlignment="1" applyFont="1">
      <alignment horizontal="left" vertical="top"/>
    </xf>
    <xf numFmtId="2" fontId="16" fillId="4" borderId="9" xfId="0" applyAlignment="1" applyBorder="1" applyFont="1" applyNumberFormat="1" applyFill="1">
      <alignment horizontal="left" vertical="center"/>
    </xf>
    <xf numFmtId="0" fontId="12" fillId="3" borderId="13" xfId="0" applyAlignment="1" applyBorder="1" applyFont="1" applyFill="1">
      <alignment horizontal="right"/>
    </xf>
    <xf numFmtId="0" fontId="13" fillId="4" borderId="1" xfId="0" applyAlignment="1" applyBorder="1" applyFont="1" applyFill="1">
      <alignment horizontal="left" vertical="center" wrapText="1"/>
    </xf>
    <xf numFmtId="0" fontId="0" fillId="2" borderId="8" xfId="0" applyBorder="1" applyFill="1"/>
    <xf numFmtId="0" fontId="16" fillId="2" borderId="8" xfId="0" applyBorder="1" applyFont="1" applyFill="1"/>
    <xf numFmtId="0" fontId="16" fillId="2" borderId="6" xfId="0" applyBorder="1" applyFont="1" applyFill="1"/>
    <xf numFmtId="0" fontId="0" fillId="2" borderId="1" xfId="0" applyBorder="1" applyFill="1"/>
    <xf numFmtId="0" fontId="0" fillId="2" borderId="5" xfId="0" applyBorder="1" applyFill="1"/>
    <xf numFmtId="0" fontId="0" fillId="4" borderId="0" xfId="0" applyFill="1"/>
    <xf numFmtId="0" fontId="0" fillId="4" borderId="6" xfId="0" applyBorder="1" applyFill="1"/>
    <xf numFmtId="0" fontId="16" fillId="4" borderId="3" xfId="0" applyAlignment="1" applyBorder="1" applyFont="1" applyFill="1">
      <alignment horizontal="left" vertical="top" indent="2"/>
    </xf>
    <xf numFmtId="0" fontId="0" fillId="4" borderId="0" xfId="0" applyBorder="1" applyFill="1"/>
    <xf numFmtId="14" fontId="7" fillId="4" borderId="0" xfId="0" applyAlignment="1" applyBorder="1" applyFont="1" applyNumberFormat="1" applyFill="1">
      <alignment vertical="center" wrapText="1"/>
    </xf>
    <xf numFmtId="0" fontId="1" fillId="4" borderId="0" xfId="0" applyBorder="1" applyFont="1" applyFill="1"/>
    <xf numFmtId="0" fontId="7" fillId="4" borderId="0" xfId="0" applyAlignment="1" applyBorder="1" applyFont="1" applyFill="1">
      <alignment vertical="center"/>
    </xf>
    <xf numFmtId="0" fontId="7" fillId="4" borderId="0" xfId="0" applyAlignment="1" applyBorder="1" applyFont="1" applyFill="1">
      <alignment vertical="center" wrapText="1"/>
    </xf>
    <xf numFmtId="0" fontId="41" fillId="2" borderId="0" xfId="0" applyAlignment="1" applyBorder="1" applyFont="1" applyFill="1">
      <alignment horizontal="center" vertical="center"/>
    </xf>
    <xf numFmtId="0" fontId="7" fillId="2" borderId="6" xfId="0" applyAlignment="1" applyBorder="1" applyFont="1" applyFill="1">
      <alignment vertical="center"/>
    </xf>
    <xf numFmtId="14" fontId="7" fillId="2" borderId="6" xfId="0" applyAlignment="1" applyBorder="1" applyFont="1" applyNumberFormat="1" applyFill="1">
      <alignment vertical="center" wrapText="1"/>
    </xf>
    <xf numFmtId="0" fontId="7" fillId="2" borderId="6" xfId="0" applyAlignment="1" applyBorder="1" applyFont="1" applyFill="1">
      <alignment vertical="center" wrapText="1"/>
    </xf>
    <xf numFmtId="0" fontId="0" fillId="2" borderId="7" xfId="0" applyBorder="1" applyFill="1"/>
    <xf numFmtId="0" fontId="20" fillId="2" borderId="12" xfId="0" applyAlignment="1" applyBorder="1" applyFont="1" applyFill="1">
      <alignment vertical="center" wrapText="1"/>
    </xf>
    <xf numFmtId="0" fontId="20" fillId="2" borderId="0" xfId="0" applyAlignment="1" applyBorder="1" applyFont="1" applyFill="1">
      <alignment vertical="center" wrapText="1"/>
    </xf>
    <xf numFmtId="0" fontId="8" fillId="2" borderId="6" xfId="0" applyAlignment="1" applyBorder="1" applyFont="1" applyFill="1">
      <alignment horizontal="left"/>
    </xf>
    <xf numFmtId="0" fontId="7" fillId="2" borderId="6" xfId="0" applyAlignment="1" applyBorder="1" applyFont="1" applyFill="1">
      <alignment horizontal="left" vertical="center"/>
    </xf>
    <xf numFmtId="0" fontId="10" fillId="2" borderId="6" xfId="0" applyBorder="1" applyFont="1" applyFill="1"/>
    <xf numFmtId="0" fontId="22" fillId="0" borderId="6" xfId="0" applyBorder="1" applyFont="1"/>
    <xf numFmtId="0" fontId="23" fillId="2" borderId="6" xfId="0" applyAlignment="1" applyBorder="1" applyFont="1" applyFill="1"/>
    <xf numFmtId="0" fontId="23" fillId="2" borderId="6" xfId="0" applyBorder="1" applyFont="1" applyFill="1"/>
    <xf numFmtId="0" fontId="42" fillId="4" borderId="0" xfId="0" applyFont="1" applyFill="1"/>
    <xf numFmtId="0" fontId="42" fillId="4" borderId="0" xfId="0" applyBorder="1" applyFont="1" applyFill="1"/>
    <xf numFmtId="14" fontId="43" fillId="4" borderId="0" xfId="0" applyAlignment="1" applyBorder="1" applyFont="1" applyNumberFormat="1" applyFill="1">
      <alignment vertical="center" wrapText="1"/>
    </xf>
    <xf numFmtId="0" fontId="43" fillId="4" borderId="0" xfId="0" applyAlignment="1" applyBorder="1" applyFont="1" applyFill="1">
      <alignment vertical="center"/>
    </xf>
    <xf numFmtId="0" fontId="43" fillId="4" borderId="0" xfId="0" applyAlignment="1" applyBorder="1" applyFont="1" applyFill="1">
      <alignment vertical="center" wrapText="1"/>
    </xf>
    <xf numFmtId="0" fontId="42" fillId="4" borderId="6" xfId="0" applyBorder="1" applyFont="1" applyFill="1"/>
    <xf numFmtId="0" fontId="24" fillId="2" borderId="6" xfId="0" applyBorder="1" applyFont="1" applyFill="1"/>
    <xf numFmtId="0" fontId="24" fillId="4" borderId="0" xfId="0" applyFont="1" applyFill="1"/>
    <xf numFmtId="0" fontId="10" fillId="4" borderId="0" xfId="0" applyFont="1" applyFill="1"/>
    <xf numFmtId="0" fontId="9" fillId="2" borderId="6" xfId="0" applyAlignment="1" applyBorder="1" applyFont="1" applyFill="1">
      <alignment horizontal="left"/>
    </xf>
    <xf numFmtId="0" fontId="7" fillId="2" borderId="6" xfId="0" applyAlignment="1" applyBorder="1" applyFont="1" applyFill="1">
      <alignment horizontal="left"/>
    </xf>
    <xf numFmtId="0" fontId="16" fillId="2" borderId="0" xfId="0" applyAlignment="1" applyBorder="1" applyFont="1" applyFill="1">
      <alignment horizontal="center"/>
    </xf>
    <xf numFmtId="0" fontId="9" fillId="4" borderId="0" xfId="0" applyAlignment="1" applyBorder="1" applyFont="1" applyFill="1">
      <alignment horizontal="left"/>
    </xf>
    <xf numFmtId="0" fontId="8" fillId="4" borderId="0" xfId="0" applyAlignment="1" applyBorder="1" applyFont="1" applyFill="1">
      <alignment horizontal="left"/>
    </xf>
    <xf numFmtId="0" fontId="7" fillId="4" borderId="0" xfId="0" applyAlignment="1" applyBorder="1" applyFont="1" applyFill="1">
      <alignment horizontal="left"/>
    </xf>
    <xf numFmtId="0" fontId="7" fillId="4" borderId="0" xfId="0" applyAlignment="1" applyBorder="1" applyFont="1" applyFill="1">
      <alignment horizontal="left" vertical="center"/>
    </xf>
    <xf numFmtId="0" fontId="15" fillId="4" borderId="0" xfId="0" applyAlignment="1" applyBorder="1" applyFont="1" applyFill="1">
      <alignment horizontal="left"/>
    </xf>
    <xf numFmtId="0" fontId="15" fillId="4" borderId="0" xfId="0" applyAlignment="1" applyBorder="1" applyFont="1" applyFill="1">
      <alignment vertical="center"/>
    </xf>
    <xf numFmtId="0" fontId="15" fillId="4" borderId="0" xfId="0" applyAlignment="1" applyBorder="1" applyFont="1" applyFill="1">
      <alignment vertical="center" wrapText="1"/>
    </xf>
    <xf numFmtId="0" fontId="16" fillId="2" borderId="1" xfId="0" applyAlignment="1" applyBorder="1" applyFont="1" applyFill="1">
      <alignment horizontal="left" vertical="center"/>
    </xf>
    <xf numFmtId="2" fontId="16" fillId="2" borderId="1" xfId="0" applyAlignment="1" applyBorder="1" applyFont="1" applyNumberFormat="1" applyFill="1">
      <alignment horizontal="left" vertical="center"/>
    </xf>
    <xf numFmtId="0" fontId="16" fillId="2" borderId="1" xfId="0" applyBorder="1" applyFont="1" applyFill="1"/>
    <xf numFmtId="0" fontId="16" fillId="4" borderId="0" xfId="0" applyAlignment="1" applyFont="1" applyFill="1">
      <alignment horizontal="left" vertical="center"/>
    </xf>
    <xf numFmtId="2" fontId="16" fillId="3" borderId="0" xfId="0" applyAlignment="1" applyBorder="1" applyFont="1" applyNumberFormat="1" applyFill="1">
      <alignment horizontal="left"/>
    </xf>
    <xf numFmtId="2" fontId="16" fillId="3" borderId="13" xfId="0" applyAlignment="1" applyBorder="1" applyFont="1" applyNumberFormat="1" applyFill="1">
      <alignment horizontal="left"/>
    </xf>
    <xf numFmtId="2" fontId="16" fillId="5" borderId="18" xfId="0" applyAlignment="1" applyBorder="1" applyFont="1" applyNumberFormat="1" applyFill="1" applyProtection="1">
      <alignment horizontal="left"/>
      <protection locked="0"/>
    </xf>
    <xf numFmtId="0" fontId="0" fillId="2" borderId="0" xfId="0" applyAlignment="1" applyBorder="1" applyFill="1">
      <alignment horizontal="left" vertical="center"/>
    </xf>
    <xf numFmtId="0" fontId="16" fillId="4" borderId="6" xfId="0" applyAlignment="1" applyBorder="1" applyFont="1" applyFill="1">
      <alignment horizontal="left" vertical="center" wrapText="1"/>
    </xf>
    <xf numFmtId="0" fontId="16" fillId="4" borderId="6" xfId="0" applyAlignment="1" applyBorder="1" applyFont="1" applyFill="1" applyProtection="1">
      <alignment horizontal="left" vertical="center"/>
      <protection hidden="1"/>
    </xf>
    <xf numFmtId="2" fontId="14" fillId="4" borderId="9" xfId="0" applyAlignment="1" applyBorder="1" applyFont="1" applyNumberFormat="1" applyFill="1">
      <alignment horizontal="left" vertical="center"/>
    </xf>
    <xf numFmtId="2" fontId="14" fillId="4" borderId="0" xfId="0" applyAlignment="1" applyBorder="1" applyFont="1" applyNumberFormat="1" applyFill="1">
      <alignment horizontal="left" vertical="center"/>
    </xf>
    <xf numFmtId="2" fontId="3" fillId="4" borderId="9" xfId="0" applyAlignment="1" applyBorder="1" applyFont="1" applyNumberFormat="1" applyFill="1">
      <alignment horizontal="left" vertical="center"/>
    </xf>
    <xf numFmtId="2" fontId="14" fillId="4" borderId="6" xfId="0" applyAlignment="1" applyBorder="1" applyFont="1" applyNumberFormat="1" applyFill="1">
      <alignment horizontal="left" vertical="center"/>
    </xf>
    <xf numFmtId="2" fontId="14" fillId="2" borderId="0" xfId="0" applyAlignment="1" applyBorder="1" applyFont="1" applyNumberFormat="1" applyFill="1">
      <alignment horizontal="left" vertical="center"/>
    </xf>
    <xf numFmtId="0" fontId="0" fillId="4" borderId="0" xfId="0" applyAlignment="1" applyFill="1">
      <alignment horizontal="left" vertical="center"/>
    </xf>
    <xf numFmtId="0" fontId="12" fillId="4" borderId="5" xfId="0" applyAlignment="1" applyBorder="1" applyFont="1" applyFill="1">
      <alignment horizontal="left" vertical="center"/>
    </xf>
    <xf numFmtId="0" fontId="16" fillId="4" borderId="3" xfId="0" applyAlignment="1" applyBorder="1" applyFont="1" applyFill="1">
      <alignment horizontal="left" vertical="center"/>
    </xf>
    <xf numFmtId="0" fontId="14" fillId="4" borderId="6" xfId="0" applyAlignment="1" applyBorder="1" applyFont="1" applyFill="1">
      <alignment horizontal="left" vertical="center" wrapText="1"/>
    </xf>
    <xf numFmtId="2" fontId="16" fillId="4" borderId="19" xfId="0" applyAlignment="1" applyBorder="1" applyFont="1" applyNumberFormat="1" applyFill="1">
      <alignment horizontal="left" vertical="center"/>
    </xf>
    <xf numFmtId="0" fontId="14" fillId="4" borderId="8" xfId="0" applyAlignment="1" applyBorder="1" applyFont="1" applyFill="1">
      <alignment horizontal="left" vertical="center" wrapText="1"/>
    </xf>
    <xf numFmtId="0" fontId="14" fillId="4" borderId="0" xfId="0" applyAlignment="1" applyBorder="1" applyFont="1" applyFill="1">
      <alignment horizontal="left" vertical="center" wrapText="1"/>
    </xf>
    <xf numFmtId="2" fontId="16" fillId="3" borderId="15" xfId="0" applyAlignment="1" applyBorder="1" applyFont="1" applyNumberFormat="1" applyFill="1">
      <alignment horizontal="left"/>
    </xf>
    <xf numFmtId="2" fontId="16" fillId="3" borderId="20" xfId="0" applyAlignment="1" applyBorder="1" applyFont="1" applyNumberFormat="1" applyFill="1">
      <alignment horizontal="left"/>
    </xf>
    <xf numFmtId="0" fontId="16" fillId="2" borderId="8" xfId="0" applyAlignment="1" applyBorder="1" applyFont="1" applyFill="1">
      <alignment horizontal="left" vertical="top" indent="2"/>
    </xf>
    <xf numFmtId="0" fontId="16" fillId="2" borderId="8" xfId="0" applyAlignment="1" applyBorder="1" applyFont="1" applyFill="1">
      <alignment horizontal="left" vertical="top" wrapText="1" indent="2"/>
    </xf>
    <xf numFmtId="0" fontId="0" fillId="4" borderId="13" xfId="0" applyBorder="1" applyFill="1"/>
    <xf numFmtId="0" fontId="30" fillId="2" borderId="0" xfId="0" applyAlignment="1" applyFont="1" applyFill="1">
      <alignment vertical="top" wrapText="1"/>
    </xf>
    <xf numFmtId="0" fontId="0" fillId="2" borderId="21" xfId="0" applyAlignment="1" applyBorder="1" applyFill="1">
      <alignment horizontal="left" vertical="top" indent="2"/>
    </xf>
    <xf numFmtId="0" fontId="0" fillId="2" borderId="3" xfId="0" applyAlignment="1" applyBorder="1" applyFill="1">
      <alignment horizontal="left" vertical="top" indent="2"/>
    </xf>
    <xf numFmtId="0" fontId="0" fillId="2" borderId="22" xfId="0" applyBorder="1" applyFill="1"/>
    <xf numFmtId="0" fontId="0" fillId="2" borderId="8" xfId="0" applyAlignment="1" applyBorder="1" applyFill="1">
      <alignment horizontal="left" vertical="top" indent="2"/>
    </xf>
    <xf numFmtId="0" fontId="0" fillId="2" borderId="0" xfId="0" applyAlignment="1" applyFill="1">
      <alignment horizontal="left" vertical="top" indent="2"/>
    </xf>
    <xf numFmtId="0" fontId="0" fillId="5" borderId="0" xfId="0" applyAlignment="1" applyFill="1">
      <alignment horizontal="left" vertical="top" indent="2"/>
    </xf>
    <xf numFmtId="0" fontId="16" fillId="2" borderId="0" xfId="0" applyAlignment="1" applyFont="1" applyFill="1">
      <alignment horizontal="left" vertical="top"/>
    </xf>
    <xf numFmtId="0" fontId="0" fillId="3" borderId="0" xfId="0" applyAlignment="1" applyFill="1">
      <alignment horizontal="left" vertical="top" indent="2"/>
    </xf>
    <xf numFmtId="0" fontId="0" fillId="4" borderId="0" xfId="0" applyAlignment="1" applyFill="1">
      <alignment horizontal="left" vertical="top" indent="2"/>
    </xf>
    <xf numFmtId="0" fontId="44" fillId="4" borderId="0" xfId="1" applyBorder="1" applyFont="1" applyFill="1"/>
    <xf numFmtId="0" fontId="44" fillId="4" borderId="0" xfId="1" applyBorder="1" applyFont="1" applyFill="1" quotePrefix="1"/>
    <xf numFmtId="0" fontId="16" fillId="2" borderId="0" xfId="0" applyAlignment="1" applyFont="1" applyFill="1">
      <alignment horizontal="left" vertical="top" indent="2"/>
    </xf>
    <xf numFmtId="0" fontId="16" fillId="2" borderId="0" xfId="0" applyAlignment="1" applyFont="1" applyFill="1">
      <alignment horizontal="left" vertical="top" wrapText="1" indent="2"/>
    </xf>
    <xf numFmtId="0" fontId="16" fillId="4" borderId="0" xfId="0" applyAlignment="1" applyFont="1" applyFill="1">
      <alignment horizontal="left" vertical="top" indent="2"/>
    </xf>
    <xf numFmtId="0" fontId="0" fillId="4" borderId="3" xfId="0" applyBorder="1" applyFill="1"/>
    <xf numFmtId="0" fontId="16" fillId="4" borderId="0" xfId="0" applyAlignment="1" applyBorder="1" applyFont="1" applyFill="1" applyProtection="1">
      <alignment horizontal="left" vertical="center"/>
      <protection hidden="1"/>
    </xf>
    <xf numFmtId="2" fontId="16" fillId="3" borderId="17" xfId="0" applyAlignment="1" applyBorder="1" applyFont="1" applyNumberFormat="1" applyFill="1">
      <alignment horizontal="left"/>
    </xf>
    <xf numFmtId="2" fontId="12" fillId="3" borderId="18" xfId="0" applyAlignment="1" applyBorder="1" applyFont="1" applyNumberFormat="1" applyFill="1">
      <alignment horizontal="right"/>
    </xf>
    <xf numFmtId="2" fontId="12" fillId="3" borderId="23" xfId="0" applyAlignment="1" applyBorder="1" applyFont="1" applyNumberFormat="1" applyFill="1">
      <alignment horizontal="right"/>
    </xf>
    <xf numFmtId="0" fontId="17" fillId="0" borderId="7" xfId="0" applyAlignment="1" applyBorder="1" applyFont="1">
      <alignment horizontal="left" vertical="top" wrapText="1" indent="2"/>
    </xf>
    <xf numFmtId="0" fontId="17" fillId="0" borderId="1" xfId="0" applyAlignment="1" applyBorder="1" applyFont="1">
      <alignment horizontal="left" vertical="top" wrapText="1" indent="2"/>
    </xf>
    <xf numFmtId="0" fontId="40" fillId="6" borderId="21" xfId="0" applyAlignment="1" applyBorder="1" applyFont="1" applyFill="1">
      <alignment horizontal="left" vertical="center" indent="2"/>
    </xf>
    <xf numFmtId="0" fontId="40" fillId="6" borderId="3" xfId="0" applyAlignment="1" applyBorder="1" applyFont="1" applyFill="1">
      <alignment horizontal="left" vertical="center" indent="2"/>
    </xf>
    <xf numFmtId="0" fontId="40" fillId="6" borderId="22" xfId="0" applyAlignment="1" applyBorder="1" applyFont="1" applyFill="1">
      <alignment horizontal="left" vertical="center" indent="2"/>
    </xf>
    <xf numFmtId="0" fontId="40" fillId="6" borderId="8" xfId="0" applyAlignment="1" applyBorder="1" applyFont="1" applyFill="1">
      <alignment horizontal="left" vertical="center" indent="2"/>
    </xf>
    <xf numFmtId="0" fontId="40" fillId="6" borderId="0" xfId="0" applyAlignment="1" applyFont="1" applyFill="1">
      <alignment horizontal="left" vertical="center" indent="2"/>
    </xf>
    <xf numFmtId="0" fontId="40" fillId="6" borderId="6" xfId="0" applyAlignment="1" applyBorder="1" applyFont="1" applyFill="1">
      <alignment horizontal="left" vertical="center" indent="2"/>
    </xf>
    <xf numFmtId="0" fontId="16" fillId="2" borderId="8" xfId="0" applyAlignment="1" applyBorder="1" applyFont="1" applyFill="1">
      <alignment horizontal="left" wrapText="1" indent="2"/>
    </xf>
    <xf numFmtId="0" fontId="16" fillId="2" borderId="0" xfId="0" applyAlignment="1" applyFont="1" applyFill="1">
      <alignment horizontal="left" wrapText="1" indent="2"/>
    </xf>
    <xf numFmtId="0" fontId="17" fillId="0" borderId="8" xfId="0" applyAlignment="1" applyBorder="1" applyFont="1">
      <alignment horizontal="left" wrapText="1" indent="2"/>
    </xf>
    <xf numFmtId="0" fontId="17" fillId="0" borderId="0" xfId="0" applyAlignment="1" applyFont="1">
      <alignment horizontal="left" wrapText="1" indent="2"/>
    </xf>
    <xf numFmtId="0" fontId="17" fillId="2" borderId="8" xfId="0" applyAlignment="1" applyBorder="1" applyFont="1" applyFill="1">
      <alignment horizontal="left" wrapText="1" indent="2"/>
    </xf>
    <xf numFmtId="0" fontId="17" fillId="2" borderId="0" xfId="0" applyAlignment="1" applyFont="1" applyFill="1">
      <alignment horizontal="left" wrapText="1" indent="2"/>
    </xf>
    <xf numFmtId="0" fontId="37" fillId="6" borderId="0" xfId="0" applyAlignment="1" applyFont="1" applyFill="1">
      <alignment horizontal="left" vertical="center" indent="2"/>
    </xf>
    <xf numFmtId="0" fontId="35" fillId="0" borderId="8" xfId="0" applyAlignment="1" applyBorder="1" applyFont="1">
      <alignment horizontal="left" vertical="top" indent="2"/>
    </xf>
    <xf numFmtId="0" fontId="35" fillId="0" borderId="0" xfId="0" applyAlignment="1" applyFont="1">
      <alignment horizontal="left" vertical="top" indent="2"/>
    </xf>
    <xf numFmtId="0" fontId="17" fillId="0" borderId="8" xfId="0" applyAlignment="1" applyBorder="1" applyFont="1">
      <alignment horizontal="left" vertical="top" indent="2"/>
    </xf>
    <xf numFmtId="0" fontId="17" fillId="0" borderId="0" xfId="0" applyAlignment="1" applyFont="1">
      <alignment horizontal="left" vertical="top" indent="2"/>
    </xf>
    <xf numFmtId="0" fontId="17" fillId="0" borderId="0" xfId="0" applyAlignment="1" applyFont="1">
      <alignment horizontal="left" vertical="top" wrapText="1" indent="2"/>
    </xf>
    <xf numFmtId="0" fontId="12" fillId="2" borderId="8" xfId="0" applyAlignment="1" applyBorder="1" applyFont="1" applyFill="1">
      <alignment horizontal="left" vertical="top" wrapText="1" indent="2"/>
    </xf>
    <xf numFmtId="0" fontId="12" fillId="2" borderId="0" xfId="0" applyAlignment="1" applyFont="1" applyFill="1">
      <alignment horizontal="left" vertical="top" wrapText="1" indent="2"/>
    </xf>
    <xf numFmtId="0" fontId="17" fillId="2" borderId="0" xfId="0" applyAlignment="1" applyFont="1" applyFill="1">
      <alignment horizontal="left" vertical="top" wrapText="1" indent="2"/>
    </xf>
    <xf numFmtId="0" fontId="34" fillId="0" borderId="8" xfId="0" applyAlignment="1" applyBorder="1" applyFont="1">
      <alignment horizontal="left" vertical="center" indent="2"/>
    </xf>
    <xf numFmtId="0" fontId="12" fillId="2" borderId="6" xfId="0" applyAlignment="1" applyBorder="1" applyFont="1" applyFill="1">
      <alignment horizontal="left" vertical="top" wrapText="1" indent="2"/>
    </xf>
    <xf numFmtId="0" fontId="36" fillId="2" borderId="0" xfId="1" applyFont="1" applyFill="1" applyProtection="1">
      <protection locked="0"/>
    </xf>
    <xf numFmtId="0" fontId="36" fillId="0" borderId="0" xfId="1" applyFont="1" applyProtection="1">
      <protection locked="0"/>
    </xf>
    <xf numFmtId="0" fontId="40" fillId="6" borderId="0" xfId="0" applyAlignment="1" applyBorder="1" applyFont="1" applyFill="1">
      <alignment horizontal="left" vertical="center" indent="2"/>
    </xf>
    <xf numFmtId="14" fontId="16" fillId="5" borderId="10" xfId="0" applyAlignment="1" applyBorder="1" applyFont="1" applyNumberFormat="1" applyFill="1" applyProtection="1">
      <alignment horizontal="left" vertical="center" wrapText="1"/>
      <protection locked="0"/>
    </xf>
    <xf numFmtId="0" fontId="16" fillId="5" borderId="12" xfId="0" applyAlignment="1" applyBorder="1" applyFont="1" applyFill="1" applyProtection="1">
      <alignment horizontal="left" vertical="center" wrapText="1"/>
      <protection locked="0"/>
    </xf>
    <xf numFmtId="0" fontId="16" fillId="5" borderId="11" xfId="0" applyAlignment="1" applyBorder="1" applyFont="1" applyFill="1" applyProtection="1">
      <alignment horizontal="left" vertical="center" wrapText="1"/>
      <protection locked="0"/>
    </xf>
    <xf numFmtId="0" fontId="40" fillId="6" borderId="8" xfId="0" applyAlignment="1" applyBorder="1" applyFont="1" applyFill="1">
      <alignment horizontal="left" vertical="center" indent="3"/>
    </xf>
    <xf numFmtId="0" fontId="40" fillId="6" borderId="0" xfId="0" applyAlignment="1" applyBorder="1" applyFont="1" applyFill="1">
      <alignment horizontal="left" vertical="center" indent="3"/>
    </xf>
    <xf numFmtId="0" fontId="40" fillId="6" borderId="6" xfId="0" applyAlignment="1" applyBorder="1" applyFont="1" applyFill="1">
      <alignment horizontal="left" vertical="center" indent="3"/>
    </xf>
    <xf numFmtId="0" fontId="29" fillId="2" borderId="0" xfId="0" applyAlignment="1" applyFont="1" applyFill="1">
      <alignment horizontal="center"/>
    </xf>
    <xf numFmtId="0" fontId="12" fillId="2" borderId="0" xfId="0" applyAlignment="1" applyBorder="1" applyFont="1" applyFill="1">
      <alignment horizontal="center" vertical="center" wrapText="1"/>
    </xf>
    <xf numFmtId="0" fontId="39" fillId="2" borderId="0" xfId="0" applyAlignment="1" applyFont="1" applyFill="1">
      <alignment horizontal="center"/>
    </xf>
    <xf numFmtId="0" fontId="12" fillId="2" borderId="10" xfId="0" applyAlignment="1" applyBorder="1" applyFont="1" applyFill="1">
      <alignment horizontal="left"/>
    </xf>
    <xf numFmtId="0" fontId="40" fillId="6" borderId="0" xfId="0" applyAlignment="1" applyFont="1" applyFill="1">
      <alignment horizontal="left" vertical="center" indent="3"/>
    </xf>
    <xf numFmtId="0" fontId="39" fillId="2" borderId="0" xfId="0" applyAlignment="1" applyFont="1" applyFill="1">
      <alignment horizontal="center" vertical="center"/>
    </xf>
    <xf numFmtId="0" fontId="40" fillId="6" borderId="21" xfId="0" applyAlignment="1" applyBorder="1" applyFont="1" applyFill="1">
      <alignment horizontal="left" vertical="center" indent="3"/>
    </xf>
    <xf numFmtId="0" fontId="40" fillId="6" borderId="3" xfId="0" applyAlignment="1" applyBorder="1" applyFont="1" applyFill="1">
      <alignment horizontal="left" vertical="center" indent="3"/>
    </xf>
    <xf numFmtId="0" fontId="40" fillId="6" borderId="22" xfId="0" applyAlignment="1" applyBorder="1" applyFont="1" applyFill="1">
      <alignment horizontal="left" vertical="center" indent="3"/>
    </xf>
    <xf numFmtId="0" fontId="39" fillId="2" borderId="0" xfId="0" applyAlignment="1" applyBorder="1" applyFont="1" applyFill="1">
      <alignment horizontal="center" vertical="center"/>
    </xf>
    <xf numFmtId="0" fontId="26" fillId="2" borderId="0" xfId="0" applyAlignment="1" applyBorder="1" applyFont="1" applyFill="1">
      <alignment horizontal="center" vertical="top"/>
    </xf>
    <xf numFmtId="0" fontId="12" fillId="2" borderId="0" xfId="0" applyAlignment="1" applyBorder="1" applyFont="1" applyFill="1">
      <alignment horizontal="left" vertical="center" wrapText="1"/>
    </xf>
    <xf numFmtId="2" fontId="21" fillId="2" borderId="0" xfId="0" applyAlignment="1" applyBorder="1" applyFont="1" applyNumberFormat="1" applyFill="1">
      <alignment horizontal="center" vertical="center"/>
    </xf>
    <xf numFmtId="2" fontId="21" fillId="3" borderId="0" xfId="0" applyAlignment="1" applyBorder="1" applyFont="1" applyNumberFormat="1" applyFill="1">
      <alignment horizontal="center" vertical="center"/>
    </xf>
    <xf numFmtId="0" fontId="12" fillId="2" borderId="0" xfId="0" applyAlignment="1" applyFont="1" applyFill="1">
      <alignment horizontal="left" vertical="center" wrapText="1"/>
    </xf>
    <xf numFmtId="2" fontId="21" fillId="3" borderId="0" xfId="0" applyAlignment="1" applyFont="1" applyNumberFormat="1" applyFill="1">
      <alignment horizontal="center" vertical="center"/>
    </xf>
  </cellXfs>
  <cellStyles count="2">
    <cellStyle name="Hyperlink" xfId="1" builtinId="8"/>
    <cellStyle name="Normal" xfId="0" builtinId="0"/>
  </cellStyles>
  <dxfs>
    <dxf>
      <fill>
        <patternFill>
          <bgColor rgb="FFF7E8BE"/>
        </patternFill>
      </fill>
    </dxf>
    <dxf>
      <fill>
        <patternFill>
          <bgColor rgb="FFF7E8BE"/>
        </patternFill>
      </fill>
    </dxf>
    <dxf>
      <fill>
        <patternFill>
          <bgColor rgb="FFF7E8BE"/>
        </patternFill>
      </fill>
    </dxf>
    <dxf>
      <fill>
        <patternFill>
          <fgColor rgb="FFF7E8BE"/>
          <bgColor rgb="FFF7E8BE"/>
        </patternFill>
      </fill>
    </dxf>
    <dxf>
      <fill>
        <patternFill>
          <fgColor rgb="FFF7E8BE"/>
          <bgColor rgb="FFF7E8BE"/>
        </patternFill>
      </fill>
    </dxf>
    <dxf>
      <fill>
        <patternFill patternType="solid">
          <fgColor rgb="FFF7E8BE"/>
          <bgColor rgb="FFF7E8BE"/>
        </patternFill>
      </fill>
    </dxf>
    <dxf>
      <fill>
        <patternFill>
          <bgColor theme="0"/>
        </patternFill>
      </fill>
    </dxf>
    <dxf>
      <font>
        <b val="0"/>
        <i val="0"/>
        <strike val="0"/>
        <color auto="1"/>
      </font>
      <fill>
        <patternFill>
          <fgColor rgb="FFF7E8BE"/>
          <bgColor rgb="FFF7E8BE"/>
        </patternFill>
      </fill>
    </dxf>
    <dxf>
      <numFmt numFmtId="0" formatCode="General"/>
      <fill>
        <patternFill>
          <bgColor rgb="FF9DD3BE"/>
        </patternFill>
      </fill>
      <border>
        <left/>
        <right/>
        <top/>
        <bottom/>
      </border>
    </dxf>
    <dxf>
      <font>
        <strike val="0"/>
        <color theme="0"/>
      </font>
    </dxf>
  </dxfs>
  <tableStyles count="0" defaultTableStyle="TableStyleMedium2" defaultPivotStyle="PivotStyleLight16"/>
</styleSheet>
</file>

<file path=xl/_rels/workbook.xml.rels><?xml version="1.0" encoding="utf-8" standalone="yes"?><Relationships xmlns="http://schemas.openxmlformats.org/package/2006/relationships"><Relationship Id="rId10" Type="http://schemas.openxmlformats.org/officeDocument/2006/relationships/worksheet" Target="worksheets/sheet10.xml" /><Relationship Id="rId13" Type="http://schemas.openxmlformats.org/officeDocument/2006/relationships/theme" Target="theme/theme1.xml" /><Relationship Id="rId4" Type="http://schemas.openxmlformats.org/officeDocument/2006/relationships/worksheet" Target="worksheets/sheet4.xml" /><Relationship Id="rId18" Type="http://schemas.openxmlformats.org/officeDocument/2006/relationships/customXml" Target="../customXml/item3.xml" /><Relationship Id="rId11" Type="http://schemas.openxmlformats.org/officeDocument/2006/relationships/worksheet" Target="worksheets/sheet11.xml" /><Relationship Id="rId6" Type="http://schemas.openxmlformats.org/officeDocument/2006/relationships/worksheet" Target="worksheets/sheet6.xml" /><Relationship Id="rId3" Type="http://schemas.openxmlformats.org/officeDocument/2006/relationships/worksheet" Target="worksheets/sheet3.xml" /><Relationship Id="rId19" Type="http://schemas.openxmlformats.org/officeDocument/2006/relationships/customXml" Target="../customXml/item4.xml" /><Relationship Id="rId5" Type="http://schemas.openxmlformats.org/officeDocument/2006/relationships/worksheet" Target="worksheets/sheet5.xml" /><Relationship Id="rId2" Type="http://schemas.openxmlformats.org/officeDocument/2006/relationships/worksheet" Target="worksheets/sheet2.xml" /><Relationship Id="rId12" Type="http://schemas.openxmlformats.org/officeDocument/2006/relationships/externalLink" Target="/xl/externalLinks/externalLink1.xml" /><Relationship Id="rId7" Type="http://schemas.openxmlformats.org/officeDocument/2006/relationships/worksheet" Target="worksheets/sheet7.xml" /><Relationship Id="rId16" Type="http://schemas.openxmlformats.org/officeDocument/2006/relationships/customXml" Target="../customXml/item1.xml" /><Relationship Id="rId15" Type="http://schemas.openxmlformats.org/officeDocument/2006/relationships/sharedStrings" Target="sharedStrings.xml" /><Relationship Id="rId8" Type="http://schemas.openxmlformats.org/officeDocument/2006/relationships/worksheet" Target="worksheets/sheet8.xml" /><Relationship Id="rId1" Type="http://schemas.openxmlformats.org/officeDocument/2006/relationships/worksheet" Target="worksheets/sheet1.xml" /><Relationship Id="rId17" Type="http://schemas.openxmlformats.org/officeDocument/2006/relationships/customXml" Target="../customXml/item2.xml" /><Relationship Id="rId9" Type="http://schemas.openxmlformats.org/officeDocument/2006/relationships/worksheet" Target="worksheets/sheet9.xml" /><Relationship Id="rId14" Type="http://schemas.openxmlformats.org/officeDocument/2006/relationships/styles" Target="styles.xml" /></Relationships>
</file>

<file path=xl/drawings/_rels/drawing1.xml.rels><?xml version="1.0" encoding="utf-8" standalone="yes"?><Relationships xmlns="http://schemas.openxmlformats.org/package/2006/relationships"><Relationship Id="rId3" Type="http://schemas.openxmlformats.org/officeDocument/2006/relationships/image" Target="/xl/media/image2.png" /><Relationship Id="rId7" Type="http://schemas.openxmlformats.org/officeDocument/2006/relationships/hyperlink" Target="https://www.flickr.com/photos/mdpettitt/21906152418/" TargetMode="External" /><Relationship Id="rId4" Type="http://schemas.openxmlformats.org/officeDocument/2006/relationships/hyperlink" Target="https://www.gov.uk/government/organisations/natural-england" TargetMode="External" /><Relationship Id="rId6" Type="http://schemas.openxmlformats.org/officeDocument/2006/relationships/hyperlink" Target="#'The Broads SAC and Ramsar'!A1" /><Relationship Id="rId1" Type="http://schemas.openxmlformats.org/officeDocument/2006/relationships/image" Target="/xl/media/image1.png" /><Relationship Id="rId5" Type="http://schemas.openxmlformats.org/officeDocument/2006/relationships/hyperlink" Target="#'The Broads SAC and Ramsar'!A1" /><Relationship Id="rId2" Type="http://schemas.openxmlformats.org/officeDocument/2006/relationships/hyperlink" Target="https://ee.ricardo.com/" TargetMode="External" /><Relationship Id="rId8" Type="http://schemas.openxmlformats.org/officeDocument/2006/relationships/image" Target="/xl/media/image3.jpeg" /></Relationships>
</file>

<file path=xl/drawings/_rels/drawing2.xml.rels><?xml version="1.0" encoding="utf-8" standalone="yes"?><Relationships xmlns="http://schemas.openxmlformats.org/package/2006/relationships"><Relationship Id="rId1" Type="http://schemas.openxmlformats.org/officeDocument/2006/relationships/image" Target="/xl/media/image4.png" /></Relationships>
</file>

<file path=xl/drawings/_rels/drawing3.xml.rels><?xml version="1.0" encoding="utf-8" standalone="yes"?><Relationships xmlns="http://schemas.openxmlformats.org/package/2006/relationships"><Relationship Id="rId1" Type="http://schemas.openxmlformats.org/officeDocument/2006/relationships/image" Target="/xl/media/image5.png" /></Relationships>
</file>

<file path=xl/drawings/_rels/drawing4.xml.rels><?xml version="1.0" encoding="utf-8" standalone="yes"?><Relationships xmlns="http://schemas.openxmlformats.org/package/2006/relationships"><Relationship Id="rId3" Type="http://schemas.openxmlformats.org/officeDocument/2006/relationships/image" Target="/xl/media/image7.png" /><Relationship Id="rId8" Type="http://schemas.openxmlformats.org/officeDocument/2006/relationships/hyperlink" Target="#'Stage 4'!A1" /><Relationship Id="rId4" Type="http://schemas.openxmlformats.org/officeDocument/2006/relationships/hyperlink" Target="#'Stage 3'!A1" /><Relationship Id="rId9" Type="http://schemas.openxmlformats.org/officeDocument/2006/relationships/image" Target="/xl/media/image10.png" /><Relationship Id="rId10" Type="http://schemas.openxmlformats.org/officeDocument/2006/relationships/image" Target="/xl/media/image11.png" /><Relationship Id="rId5" Type="http://schemas.openxmlformats.org/officeDocument/2006/relationships/image" Target="/xl/media/image8.png" /><Relationship Id="rId6" Type="http://schemas.openxmlformats.org/officeDocument/2006/relationships/hyperlink" Target="#'Stage 2'!A1" /><Relationship Id="rId1" Type="http://schemas.openxmlformats.org/officeDocument/2006/relationships/image" Target="/xl/media/image6.png" /><Relationship Id="rId7" Type="http://schemas.openxmlformats.org/officeDocument/2006/relationships/image" Target="/xl/media/image9.png" /><Relationship Id="rId2" Type="http://schemas.openxmlformats.org/officeDocument/2006/relationships/hyperlink" Target="#'Stage 1'!A1" /></Relationships>
</file>

<file path=xl/drawings/_rels/drawing5.xml.rels><?xml version="1.0" encoding="utf-8" standalone="yes"?><Relationships xmlns="http://schemas.openxmlformats.org/package/2006/relationships"><Relationship Id="rId1" Type="http://schemas.openxmlformats.org/officeDocument/2006/relationships/image" Target="/xl/media/image6.png" /><Relationship Id="rId6" Type="http://schemas.openxmlformats.org/officeDocument/2006/relationships/hyperlink" Target="#'Stage 2'!A1" /><Relationship Id="rId2" Type="http://schemas.openxmlformats.org/officeDocument/2006/relationships/hyperlink" Target="#'Stage 1'!A1" /><Relationship Id="rId7" Type="http://schemas.openxmlformats.org/officeDocument/2006/relationships/image" Target="/xl/media/image9.png" /><Relationship Id="rId8" Type="http://schemas.openxmlformats.org/officeDocument/2006/relationships/hyperlink" Target="#'Stage 4'!A1" /><Relationship Id="rId3" Type="http://schemas.openxmlformats.org/officeDocument/2006/relationships/image" Target="/xl/media/image7.png" /><Relationship Id="rId4" Type="http://schemas.openxmlformats.org/officeDocument/2006/relationships/hyperlink" Target="#'Stage 3'!A1" /><Relationship Id="rId5" Type="http://schemas.openxmlformats.org/officeDocument/2006/relationships/image" Target="/xl/media/image8.png" /></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6</xdr:row>
      <xdr:rowOff>0</xdr:rowOff>
    </xdr:from>
    <xdr:to>
      <xdr:col>3</xdr:col>
      <xdr:colOff>304726</xdr:colOff>
      <xdr:row>6</xdr:row>
      <xdr:rowOff>305752</xdr:rowOff>
    </xdr:to>
    <xdr:sp macro="" textlink="">
      <xdr:nvSpPr>
        <xdr:cNvPr id="6146" name="AutoShape 2"/>
        <xdr:cNvSpPr/>
      </xdr:nvSpPr>
      <xdr:spPr>
        <a:xfrm>
          <a:off x="1828800" y="1143000"/>
          <a:ext cx="304800" cy="304800"/>
        </a:xfrm>
        <a:prstGeom prst="rect">
          <a:avLst xmlns:a="http://schemas.openxmlformats.org/drawingml/2006/main"/>
        </a:prstGeom>
        <a:noFill/>
      </xdr:spPr>
    </xdr:sp>
    <xdr:clientData/>
  </xdr:twoCellAnchor>
  <xdr:twoCellAnchor editAs="oneCell">
    <xdr:from>
      <xdr:col>5</xdr:col>
      <xdr:colOff>0</xdr:colOff>
      <xdr:row>5</xdr:row>
      <xdr:rowOff>0</xdr:rowOff>
    </xdr:from>
    <xdr:to>
      <xdr:col>5</xdr:col>
      <xdr:colOff>304726</xdr:colOff>
      <xdr:row>5</xdr:row>
      <xdr:rowOff>305752</xdr:rowOff>
    </xdr:to>
    <xdr:sp macro="" textlink="">
      <xdr:nvSpPr>
        <xdr:cNvPr id="6147" name="AutoShape 3"/>
        <xdr:cNvSpPr/>
      </xdr:nvSpPr>
      <xdr:spPr>
        <a:xfrm>
          <a:off x="3048000" y="952500"/>
          <a:ext cx="304800" cy="304800"/>
        </a:xfrm>
        <a:prstGeom prst="rect">
          <a:avLst xmlns:a="http://schemas.openxmlformats.org/drawingml/2006/main"/>
        </a:prstGeom>
        <a:noFill/>
      </xdr:spPr>
    </xdr:sp>
    <xdr:clientData/>
  </xdr:twoCellAnchor>
  <xdr:twoCellAnchor editAs="oneCell">
    <xdr:from>
      <xdr:col>6</xdr:col>
      <xdr:colOff>37951</xdr:colOff>
      <xdr:row>1</xdr:row>
      <xdr:rowOff>152400</xdr:rowOff>
    </xdr:from>
    <xdr:to>
      <xdr:col>10</xdr:col>
      <xdr:colOff>346397</xdr:colOff>
      <xdr:row>4</xdr:row>
      <xdr:rowOff>275272</xdr:rowOff>
    </xdr:to>
    <xdr:pic macro="">
      <xdr:nvPicPr>
        <xdr:cNvPr id="7" name="Picture 6">
          <a:hlinkClick xmlns:d6p1="http://schemas.openxmlformats.org/officeDocument/2006/relationships" d6p1:id="rId2"/>
          <a:extLst xmlns:a="http://schemas.openxmlformats.org/drawingml/2006/main">
            <a:ext uri="{FF2B5EF4-FFF2-40B4-BE49-F238E27FC236}">
              <a16:creationId xmlns:a16="http://schemas.microsoft.com/office/drawing/2014/main" id="{A94DD4AD-3EEA-416C-B2EF-2E02AD190562}"/>
            </a:ext>
          </a:extLst>
        </xdr:cNvPr>
        <xdr:cNvPicPr>
          <a:picLocks noChangeAspect="1"/>
        </xdr:cNvPicPr>
      </xdr:nvPicPr>
      <xdr:blipFill>
        <a:blip xmlns:d5p1="http://schemas.openxmlformats.org/officeDocument/2006/relationships" d5p1:embed="rId1">
          <a:extLst>
            <a:ext uri="{28A0092B-C50C-407E-A947-70E740481C1C}">
              <a14:useLocalDpi xmlns:a14="http://schemas.microsoft.com/office/drawing/2010/main" val="0"/>
            </a:ext>
          </a:extLst>
        </a:blip>
        <a:srcRect/>
        <a:stretch>
          <a:fillRect/>
        </a:stretch>
      </xdr:blipFill>
      <xdr:spPr>
        <a:xfrm>
          <a:off x="2324100" y="514350"/>
          <a:ext cx="1832396" cy="1832396"/>
        </a:xfrm>
        <a:prstGeom xmlns:a="http://schemas.openxmlformats.org/drawingml/2006/main" prst="rect">
          <a:avLst/>
        </a:prstGeom>
        <a:noFill/>
        <a:effectLst xmlns:a="http://schemas.openxmlformats.org/drawingml/2006/main">
          <a:outerShdw blurRad="63500" sx="102000" sy="102000" algn="ctr" rotWithShape="0">
            <a:prstClr val="black">
              <a:alpha val="40000"/>
            </a:prstClr>
          </a:outerShdw>
        </a:effectLst>
      </xdr:spPr>
    </xdr:pic>
    <xdr:clientData/>
  </xdr:twoCellAnchor>
  <xdr:twoCellAnchor editAs="oneCell">
    <xdr:from>
      <xdr:col>1</xdr:col>
      <xdr:colOff>180826</xdr:colOff>
      <xdr:row>1</xdr:row>
      <xdr:rowOff>180975</xdr:rowOff>
    </xdr:from>
    <xdr:to>
      <xdr:col>4</xdr:col>
      <xdr:colOff>180826</xdr:colOff>
      <xdr:row>4</xdr:row>
      <xdr:rowOff>240030</xdr:rowOff>
    </xdr:to>
    <xdr:pic macro="">
      <xdr:nvPicPr>
        <xdr:cNvPr id="10" name="Picture 9">
          <a:hlinkClick xmlns:d6p1="http://schemas.openxmlformats.org/officeDocument/2006/relationships" d6p1:id="rId4"/>
          <a:extLst xmlns:a="http://schemas.openxmlformats.org/drawingml/2006/main">
            <a:ext uri="{FF2B5EF4-FFF2-40B4-BE49-F238E27FC236}">
              <a16:creationId xmlns:a16="http://schemas.microsoft.com/office/drawing/2014/main" id="{E2204205-FAF5-4B6B-A86F-01A92D2D6BB3}"/>
            </a:ext>
          </a:extLst>
        </xdr:cNvPr>
        <xdr:cNvPicPr>
          <a:picLocks noChangeAspect="1"/>
        </xdr:cNvPicPr>
      </xdr:nvPicPr>
      <xdr:blipFill>
        <a:blip xmlns:d5p1="http://schemas.openxmlformats.org/officeDocument/2006/relationships" d5p1:embed="rId3">
          <a:extLst>
            <a:ext uri="{28A0092B-C50C-407E-A947-70E740481C1C}">
              <a14:useLocalDpi xmlns:a14="http://schemas.microsoft.com/office/drawing/2010/main" val="0"/>
            </a:ext>
          </a:extLst>
        </a:blip>
        <a:srcRect xmlns:a="http://schemas.openxmlformats.org/drawingml/2006/main" l="23333" t="2000" r="23445" b="2000"/>
        <a:stretch>
          <a:fillRect/>
        </a:stretch>
      </xdr:blipFill>
      <xdr:spPr>
        <a:xfrm>
          <a:off x="561976" y="542925"/>
          <a:ext cx="1142999" cy="1142999"/>
        </a:xfrm>
        <a:prstGeom xmlns:a="http://schemas.openxmlformats.org/drawingml/2006/main" prst="rect">
          <a:avLst/>
        </a:prstGeom>
        <a:noFill/>
        <a:effectLst xmlns:a="http://schemas.openxmlformats.org/drawingml/2006/main">
          <a:outerShdw blurRad="63500" sx="102000" sy="102000" algn="ctr" rotWithShape="0">
            <a:prstClr val="black">
              <a:alpha val="40000"/>
            </a:prstClr>
          </a:outerShdw>
        </a:effectLst>
      </xdr:spPr>
    </xdr:pic>
    <xdr:clientData/>
  </xdr:twoCellAnchor>
  <xdr:twoCellAnchor editAs="twoCell">
    <xdr:from>
      <xdr:col>1</xdr:col>
      <xdr:colOff>200174</xdr:colOff>
      <xdr:row>5</xdr:row>
      <xdr:rowOff>133350</xdr:rowOff>
    </xdr:from>
    <xdr:to>
      <xdr:col>11</xdr:col>
      <xdr:colOff>76274</xdr:colOff>
      <xdr:row>7</xdr:row>
      <xdr:rowOff>76200</xdr:rowOff>
    </xdr:to>
    <xdr:sp macro="">
      <xdr:nvSpPr>
        <xdr:cNvPr id="8" name="TextBox 7">
          <a:extLst xmlns:a="http://schemas.openxmlformats.org/drawingml/2006/main">
            <a:ext uri="{FF2B5EF4-FFF2-40B4-BE49-F238E27FC236}">
              <a16:creationId xmlns:a16="http://schemas.microsoft.com/office/drawing/2014/main" id="{2BC5E90D-F7DB-474F-BF74-1B4BF980360F}"/>
            </a:ext>
          </a:extLst>
        </xdr:cNvPr>
        <xdr:cNvSpPr txBox="1"/>
      </xdr:nvSpPr>
      <xdr:spPr>
        <a:xfrm>
          <a:off x="581024" y="1943101"/>
          <a:ext cx="3686175" cy="666749"/>
        </a:xfrm>
        <a:prstGeom prst="rect">
          <a:avLst/>
        </a:prstGeom>
        <a:noFill/>
        <a:ln>
          <a:noFill/>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xdr:style>
      <xdr:txBody>
        <a:bodyPr vertOverflow="clip" horzOverflow="clip" wrap="square" rtlCol="0"/>
        <a:lstStyle xmlns:a="http://schemas.openxmlformats.org/drawingml/2006/main"/>
        <a:p>
          <a:pPr algn="ctr"/>
          <a:r>
            <a:rPr lang="en-GB" b="1" i="0" sz="1800">
              <a:solidFill>
                <a:srgbClr val="000000"/>
              </a:solidFill>
              <a:latin typeface="Century Gothic"/>
            </a:rPr>
            <a:t>Nutrient Neutrality Budget Calculator </a:t>
          </a:r>
          <a:endParaRPr lang="en-GB" b="1" i="0" sz="1800">
            <a:solidFill>
              <a:srgbClr val="000000"/>
            </a:solidFill>
            <a:latin typeface="Century Gothic"/>
          </a:endParaRPr>
        </a:p>
        <a:p>
          <a:pPr algn="ctr"/>
          <a:endParaRPr lang="en-GB" b="1" i="0" sz="1800">
            <a:solidFill>
              <a:srgbClr val="000000"/>
            </a:solidFill>
            <a:latin typeface="Century Gothic"/>
          </a:endParaRPr>
        </a:p>
      </xdr:txBody>
    </xdr:sp>
    <xdr:clientData/>
  </xdr:twoCellAnchor>
  <xdr:twoCellAnchor editAs="twoCell">
    <xdr:from>
      <xdr:col>3</xdr:col>
      <xdr:colOff>247799</xdr:colOff>
      <xdr:row>8</xdr:row>
      <xdr:rowOff>314325</xdr:rowOff>
    </xdr:from>
    <xdr:to>
      <xdr:col>9</xdr:col>
      <xdr:colOff>28649</xdr:colOff>
      <xdr:row>11</xdr:row>
      <xdr:rowOff>58102</xdr:rowOff>
    </xdr:to>
    <xdr:sp macro="">
      <xdr:nvSpPr>
        <xdr:cNvPr id="16" name="TextBox 15">
          <a:hlinkClick xmlns:d6p1="http://schemas.openxmlformats.org/officeDocument/2006/relationships" d6p1:id="rId6"/>
          <a:extLst xmlns:a="http://schemas.openxmlformats.org/drawingml/2006/main">
            <a:ext uri="{FF2B5EF4-FFF2-40B4-BE49-F238E27FC236}">
              <a16:creationId xmlns:a16="http://schemas.microsoft.com/office/drawing/2014/main" id="{DA266339-9600-4E62-B26B-3BF11ACB0CB9}"/>
            </a:ext>
          </a:extLst>
        </xdr:cNvPr>
        <xdr:cNvSpPr txBox="1"/>
      </xdr:nvSpPr>
      <xdr:spPr>
        <a:xfrm>
          <a:off x="1390649" y="3209926"/>
          <a:ext cx="2066926" cy="695324"/>
        </a:xfrm>
        <a:prstGeom prst="rect">
          <a:avLst/>
        </a:prstGeom>
        <a:solidFill>
          <a:srgbClr val="FFFFFF"/>
        </a:solidFill>
        <a:ln w="38100" cmpd="sng">
          <a:solidFill>
            <a:srgbClr val="449669"/>
          </a:solidFill>
          <a:headEnd type="none" w="med" len="med"/>
          <a:tailEnd type="none" w="med" len="med"/>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xdr:style>
      <xdr:txBody>
        <a:bodyPr vertOverflow="clip" horzOverflow="clip" wrap="square" rtlCol="0"/>
        <a:lstStyle xmlns:a="http://schemas.openxmlformats.org/drawingml/2006/main"/>
        <a:p>
          <a:pPr algn="ctr"/>
          <a:r>
            <a:rPr lang="en-GB" b="1" i="0" sz="1800">
              <a:solidFill>
                <a:srgbClr val="449669"/>
              </a:solidFill>
              <a:latin typeface="Century Gothic"/>
            </a:rPr>
            <a:t>The Broads SAC and Ramsar</a:t>
          </a:r>
          <a:endParaRPr lang="en-GB" b="1" i="0" sz="1800">
            <a:solidFill>
              <a:srgbClr val="449669"/>
            </a:solidFill>
            <a:latin typeface="Century Gothic"/>
          </a:endParaRPr>
        </a:p>
        <a:p>
          <a:pPr algn="ctr"/>
          <a:endParaRPr lang="en-GB" b="1" i="0" sz="1800">
            <a:solidFill>
              <a:srgbClr val="449669"/>
            </a:solidFill>
            <a:latin typeface="Century Gothic"/>
          </a:endParaRPr>
        </a:p>
        <a:p>
          <a:pPr algn="ctr"/>
          <a:r>
            <a:rPr lang="en-GB" b="1" i="0" sz="1800">
              <a:solidFill>
                <a:srgbClr val="449669"/>
              </a:solidFill>
              <a:latin typeface="+mn-lt"/>
            </a:rPr>
            <a:t> </a:t>
          </a:r>
          <a:endParaRPr lang="en-GB" b="1" i="0" sz="1800">
            <a:solidFill>
              <a:srgbClr val="449669"/>
            </a:solidFill>
            <a:latin typeface="Century Gothic"/>
          </a:endParaRPr>
        </a:p>
        <a:p>
          <a:pPr algn="ctr"/>
          <a:endParaRPr lang="en-GB" b="1" i="0" sz="1800">
            <a:solidFill>
              <a:srgbClr val="000000"/>
            </a:solidFill>
            <a:latin typeface="Century Gothic"/>
          </a:endParaRPr>
        </a:p>
        <a:p>
          <a:pPr algn="ctr"/>
          <a:endParaRPr lang="en-GB" b="1" i="0" sz="1800">
            <a:solidFill>
              <a:srgbClr val="000000"/>
            </a:solidFill>
            <a:latin typeface="Century Gothic"/>
          </a:endParaRPr>
        </a:p>
      </xdr:txBody>
    </xdr:sp>
    <xdr:clientData/>
  </xdr:twoCellAnchor>
  <xdr:twoCellAnchor>
    <xdr:from>
      <xdr:col>2</xdr:col>
      <xdr:colOff>209476</xdr:colOff>
      <xdr:row>5</xdr:row>
      <xdr:rowOff>66675</xdr:rowOff>
    </xdr:from>
    <xdr:to>
      <xdr:col>10</xdr:col>
      <xdr:colOff>57299</xdr:colOff>
      <xdr:row>5</xdr:row>
      <xdr:rowOff>66675</xdr:rowOff>
    </xdr:to>
    <xdr:cxnSp macro="">
      <xdr:nvCxnSpPr>
        <xdr:cNvPr id="14" name="Straight Connector 13"/>
        <xdr:cNvCxnSpPr/>
      </xdr:nvCxnSpPr>
      <xdr:spPr>
        <a:xfrm>
          <a:off x="971550" y="1876425"/>
          <a:ext cx="2895600" cy="0"/>
        </a:xfrm>
        <a:prstGeom prst="line">
          <a:avLst xmlns:a="http://schemas.openxmlformats.org/drawingml/2006/main"/>
        </a:prstGeom>
        <a:noFill/>
        <a:ln xmlns:a="http://schemas.openxmlformats.org/drawingml/2006/main" w="28575">
          <a:solidFill>
            <a:srgbClr val="449669"/>
          </a:solidFill>
        </a:ln>
      </xdr:spPr>
      <xdr:style xmlns:xdr="http://schemas.openxmlformats.org/drawingml/2006/spreadsheetDrawing">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xdr:style>
    </xdr:cxnSp>
    <xdr:clientData/>
  </xdr:twoCellAnchor>
  <xdr:twoCellAnchor>
    <xdr:from>
      <xdr:col>2</xdr:col>
      <xdr:colOff>219149</xdr:colOff>
      <xdr:row>11</xdr:row>
      <xdr:rowOff>171450</xdr:rowOff>
    </xdr:from>
    <xdr:to>
      <xdr:col>10</xdr:col>
      <xdr:colOff>66601</xdr:colOff>
      <xdr:row>11</xdr:row>
      <xdr:rowOff>171450</xdr:rowOff>
    </xdr:to>
    <xdr:cxnSp macro="">
      <xdr:nvCxnSpPr>
        <xdr:cNvPr id="19" name="Straight Connector 18"/>
        <xdr:cNvCxnSpPr/>
      </xdr:nvCxnSpPr>
      <xdr:spPr>
        <a:xfrm>
          <a:off x="981075" y="4019550"/>
          <a:ext cx="2895600" cy="0"/>
        </a:xfrm>
        <a:prstGeom prst="line">
          <a:avLst xmlns:a="http://schemas.openxmlformats.org/drawingml/2006/main"/>
        </a:prstGeom>
        <a:noFill/>
        <a:ln xmlns:a="http://schemas.openxmlformats.org/drawingml/2006/main" w="28575">
          <a:solidFill>
            <a:srgbClr val="449669"/>
          </a:solidFill>
        </a:ln>
      </xdr:spPr>
      <xdr:style xmlns:xdr="http://schemas.openxmlformats.org/drawingml/2006/spreadsheetDrawing">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xdr:style>
    </xdr:cxnSp>
    <xdr:clientData/>
  </xdr:twoCellAnchor>
  <xdr:twoCellAnchor editAs="twoCell">
    <xdr:from>
      <xdr:col>2</xdr:col>
      <xdr:colOff>171524</xdr:colOff>
      <xdr:row>7</xdr:row>
      <xdr:rowOff>76200</xdr:rowOff>
    </xdr:from>
    <xdr:to>
      <xdr:col>10</xdr:col>
      <xdr:colOff>104924</xdr:colOff>
      <xdr:row>9</xdr:row>
      <xdr:rowOff>9525</xdr:rowOff>
    </xdr:to>
    <xdr:sp macro="">
      <xdr:nvSpPr>
        <xdr:cNvPr id="20" name="TextBox 19">
          <a:extLst xmlns:a="http://schemas.openxmlformats.org/drawingml/2006/main">
            <a:ext uri="{FF2B5EF4-FFF2-40B4-BE49-F238E27FC236}">
              <a16:creationId xmlns:a16="http://schemas.microsoft.com/office/drawing/2014/main" id="{19D50B77-7D40-4832-A893-F919EAE1C2A1}"/>
            </a:ext>
          </a:extLst>
        </xdr:cNvPr>
        <xdr:cNvSpPr txBox="1"/>
      </xdr:nvSpPr>
      <xdr:spPr>
        <a:xfrm>
          <a:off x="933450" y="2609851"/>
          <a:ext cx="2981325" cy="657224"/>
        </a:xfrm>
        <a:prstGeom prst="rect">
          <a:avLst/>
        </a:prstGeom>
        <a:noFill/>
        <a:ln>
          <a:noFill/>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xdr:style>
      <xdr:txBody>
        <a:bodyPr vertOverflow="clip" horzOverflow="clip" wrap="square" rtlCol="0"/>
        <a:lstStyle xmlns:a="http://schemas.openxmlformats.org/drawingml/2006/main"/>
        <a:p>
          <a:pPr algn="ctr"/>
          <a:r>
            <a:rPr lang="en-GB" b="1" i="0" sz="1200">
              <a:solidFill>
                <a:srgbClr val="767171"/>
              </a:solidFill>
              <a:latin typeface="Arial"/>
            </a:rPr>
            <a:t>a</a:t>
          </a:r>
          <a:r>
            <a:rPr lang="en-GB" b="1" i="0" sz="1200">
              <a:solidFill>
                <a:srgbClr val="767171"/>
              </a:solidFill>
              <a:latin typeface="Arial"/>
            </a:rPr>
            <a:t> tool for assessing the nutrient loading to a Habitats Site</a:t>
          </a:r>
          <a:endParaRPr lang="en-GB" b="1" i="0" sz="1200">
            <a:solidFill>
              <a:srgbClr val="767171"/>
            </a:solidFill>
            <a:latin typeface="Arial"/>
          </a:endParaRPr>
        </a:p>
        <a:p>
          <a:pPr algn="ctr"/>
          <a:endParaRPr lang="en-GB" b="1" i="0" sz="1800">
            <a:solidFill>
              <a:srgbClr val="000000"/>
            </a:solidFill>
            <a:latin typeface="Century Gothic"/>
          </a:endParaRPr>
        </a:p>
        <a:p>
          <a:pPr algn="ctr"/>
          <a:endParaRPr lang="en-GB" b="1" i="0" sz="1800">
            <a:solidFill>
              <a:srgbClr val="000000"/>
            </a:solidFill>
            <a:latin typeface="Century Gothic"/>
          </a:endParaRPr>
        </a:p>
      </xdr:txBody>
    </xdr:sp>
    <xdr:clientData/>
  </xdr:twoCellAnchor>
  <xdr:twoCellAnchor editAs="oneCell">
    <xdr:from>
      <xdr:col>11</xdr:col>
      <xdr:colOff>349374</xdr:colOff>
      <xdr:row>2</xdr:row>
      <xdr:rowOff>3810</xdr:rowOff>
    </xdr:from>
    <xdr:to>
      <xdr:col>17</xdr:col>
      <xdr:colOff>200174</xdr:colOff>
      <xdr:row>10</xdr:row>
      <xdr:rowOff>185737</xdr:rowOff>
    </xdr:to>
    <xdr:pic macro="">
      <xdr:nvPicPr>
        <xdr:cNvPr id="12" name="Picture 11">
          <a:extLst xmlns:a="http://schemas.openxmlformats.org/drawingml/2006/main">
            <a:ext uri="{FF2B5EF4-FFF2-40B4-BE49-F238E27FC236}">
              <a16:creationId xmlns:a16="http://schemas.microsoft.com/office/drawing/2014/main" id="{D14C23C2-8755-46A0-B5ED-694153E25566}"/>
            </a:ext>
          </a:extLst>
        </xdr:cNvPr>
        <xdr:cNvPicPr>
          <a:picLocks noChangeAspect="1"/>
        </xdr:cNvPicPr>
      </xdr:nvPicPr>
      <xdr:blipFill>
        <a:blip xmlns:d5p1="http://schemas.openxmlformats.org/officeDocument/2006/relationships" d5p1:embed="rId8">
          <a:extLst>
            <a:ext uri="{28A0092B-C50C-407E-A947-70E740481C1C}">
              <a14:useLocalDpi xmlns:a14="http://schemas.microsoft.com/office/drawing/2010/main" val="0"/>
            </a:ext>
          </a:extLst>
        </a:blip>
        <a:srcRect xmlns:a="http://schemas.openxmlformats.org/drawingml/2006/main"/>
        <a:stretch>
          <a:fillRect/>
        </a:stretch>
      </xdr:blipFill>
      <xdr:spPr>
        <a:xfrm>
          <a:off x="4540299" y="728223"/>
          <a:ext cx="4613226" cy="4613226"/>
        </a:xfrm>
        <a:prstGeom xmlns:a="http://schemas.openxmlformats.org/drawingml/2006/main" prst="rect">
          <a:avLst/>
        </a:prstGeom>
        <a:noFill/>
        <a:effectLst xmlns:a="http://schemas.openxmlformats.org/drawingml/2006/main">
          <a:outerShdw blurRad="63500" sx="102000" sy="102000" algn="ctr" rotWithShape="0">
            <a:prstClr val="black">
              <a:alpha val="40000"/>
            </a:prstClr>
          </a:outerShdw>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273844</xdr:colOff>
      <xdr:row>9</xdr:row>
      <xdr:rowOff>0</xdr:rowOff>
    </xdr:from>
    <xdr:to>
      <xdr:col>12</xdr:col>
      <xdr:colOff>133350</xdr:colOff>
      <xdr:row>31</xdr:row>
      <xdr:rowOff>97155</xdr:rowOff>
    </xdr:to>
    <xdr:pic macro="">
      <xdr:nvPicPr>
        <xdr:cNvPr id="2" name="Picture 1">
          <a:extLst xmlns:a="http://schemas.openxmlformats.org/drawingml/2006/main">
            <a:ext uri="{FF2B5EF4-FFF2-40B4-BE49-F238E27FC236}">
              <a16:creationId xmlns:a16="http://schemas.microsoft.com/office/drawing/2014/main" id="{4B4F5949-7D7E-4624-82B4-CABEE15BD90B}"/>
            </a:ext>
          </a:extLst>
        </xdr:cNvPr>
        <xdr:cNvPicPr>
          <a:picLocks noChangeAspect="1"/>
        </xdr:cNvPicPr>
      </xdr:nvPicPr>
      <xdr:blipFill>
        <a:blip xmlns:d5p1="http://schemas.openxmlformats.org/officeDocument/2006/relationships" d5p1:embed="rId1">
          <a:extLst>
            <a:ext uri="{28A0092B-C50C-407E-A947-70E740481C1C}">
              <a14:useLocalDpi xmlns:a14="http://schemas.microsoft.com/office/drawing/2010/main" val="0"/>
            </a:ext>
          </a:extLst>
        </a:blip>
        <a:srcRect xmlns:a="http://schemas.openxmlformats.org/drawingml/2006/main" l="330" r="330"/>
        <a:stretch>
          <a:fillRect/>
        </a:stretch>
      </xdr:blipFill>
      <xdr:spPr>
        <a:xfrm>
          <a:off x="883442" y="2733675"/>
          <a:ext cx="6565107" cy="6565107"/>
        </a:xfrm>
        <a:prstGeom xmlns:a="http://schemas.openxmlformats.org/drawingml/2006/main" prst="rect">
          <a:avLst/>
        </a:prstGeom>
        <a:noFill/>
      </xdr:spPr>
    </xdr:pic>
    <xdr:clientData/>
  </xdr:twoCellAnchor>
  <xdr:twoCellAnchor editAs="twoCell">
    <xdr:from>
      <xdr:col>1</xdr:col>
      <xdr:colOff>107156</xdr:colOff>
      <xdr:row>9</xdr:row>
      <xdr:rowOff>71437</xdr:rowOff>
    </xdr:from>
    <xdr:to>
      <xdr:col>2</xdr:col>
      <xdr:colOff>288131</xdr:colOff>
      <xdr:row>12</xdr:row>
      <xdr:rowOff>23812</xdr:rowOff>
    </xdr:to>
    <xdr:sp macro="">
      <xdr:nvSpPr>
        <xdr:cNvPr id="3" name="TextBox 2">
          <a:extLst xmlns:a="http://schemas.openxmlformats.org/drawingml/2006/main">
            <a:ext uri="{FF2B5EF4-FFF2-40B4-BE49-F238E27FC236}">
              <a16:creationId xmlns:a16="http://schemas.microsoft.com/office/drawing/2014/main" id="{22937CA8-4113-4F6D-8396-A56B17E19074}"/>
            </a:ext>
          </a:extLst>
        </xdr:cNvPr>
        <xdr:cNvSpPr txBox="1"/>
      </xdr:nvSpPr>
      <xdr:spPr>
        <a:xfrm>
          <a:off x="748504" y="2770178"/>
          <a:ext cx="822325" cy="504825"/>
        </a:xfrm>
        <a:prstGeom prst="rect">
          <a:avLst/>
        </a:prstGeom>
        <a:noFill/>
        <a:ln>
          <a:noFill/>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xdr:style>
      <xdr:txBody>
        <a:bodyPr vertOverflow="clip" horzOverflow="clip" wrap="square" rtlCol="0"/>
        <a:lstStyle xmlns:a="http://schemas.openxmlformats.org/drawingml/2006/main"/>
        <a:p>
          <a:r>
            <a:rPr lang="en-GB" b="0" i="0" sz="1100">
              <a:solidFill>
                <a:srgbClr val="000000"/>
              </a:solidFill>
              <a:latin typeface="Arial"/>
            </a:rPr>
            <a:t>Figure 1:</a:t>
          </a:r>
          <a:endParaRPr lang="en-GB" b="0" i="0" sz="1100">
            <a:solidFill>
              <a:srgbClr val="000000"/>
            </a:solidFill>
            <a:latin typeface="Aria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14</xdr:col>
      <xdr:colOff>27384</xdr:colOff>
      <xdr:row>3</xdr:row>
      <xdr:rowOff>190500</xdr:rowOff>
    </xdr:from>
    <xdr:to>
      <xdr:col>30</xdr:col>
      <xdr:colOff>9516</xdr:colOff>
      <xdr:row>17</xdr:row>
      <xdr:rowOff>87630</xdr:rowOff>
    </xdr:to>
    <xdr:pic macro="">
      <xdr:nvPicPr>
        <xdr:cNvPr id="3" name="Picture 2">
          <a:extLst xmlns:a="http://schemas.openxmlformats.org/drawingml/2006/main">
            <a:ext uri="{FF2B5EF4-FFF2-40B4-BE49-F238E27FC236}">
              <a16:creationId xmlns:a16="http://schemas.microsoft.com/office/drawing/2014/main" id="{D9173814-52E0-487B-AE30-25D262324B7A}"/>
            </a:ext>
          </a:extLst>
        </xdr:cNvPr>
        <xdr:cNvPicPr>
          <a:picLocks noChangeAspect="1"/>
        </xdr:cNvPicPr>
      </xdr:nvPicPr>
      <xdr:blipFill>
        <a:blip xmlns:d5p1="http://schemas.openxmlformats.org/officeDocument/2006/relationships" d5p1:embed="rId1">
          <a:extLst>
            <a:ext uri="{28A0092B-C50C-407E-A947-70E740481C1C}">
              <a14:useLocalDpi xmlns:a14="http://schemas.microsoft.com/office/drawing/2010/main" val="0"/>
            </a:ext>
          </a:extLst>
        </a:blip>
        <a:srcRect xmlns:a="http://schemas.openxmlformats.org/drawingml/2006/main"/>
        <a:stretch>
          <a:fillRect/>
        </a:stretch>
      </xdr:blipFill>
      <xdr:spPr>
        <a:xfrm>
          <a:off x="8447480" y="752474"/>
          <a:ext cx="7840270" cy="7840270"/>
        </a:xfrm>
        <a:prstGeom xmlns:a="http://schemas.openxmlformats.org/drawingml/2006/main" prst="rect">
          <a:avLst/>
        </a:prstGeom>
        <a:noFill/>
        <a:ln w="28575" cmpd="sng">
          <a:solidFill>
            <a:srgbClr val="449669"/>
          </a:solidFill>
          <a:headEnd type="none" w="med" len="med"/>
          <a:tailEnd type="none" w="med" len="med"/>
        </a:ln>
      </xdr:spPr>
    </xdr:pic>
    <xdr:clientData/>
  </xdr:twoCellAnchor>
</xdr:wsDr>
</file>

<file path=xl/drawings/drawing4.xml><?xml version="1.0" encoding="utf-8"?>
<xdr:wsDr xmlns:xdr="http://schemas.openxmlformats.org/drawingml/2006/spreadsheetDrawing" xmlns:a="http://schemas.openxmlformats.org/drawingml/2006/main">
  <xdr:twoCellAnchor editAs="twoCell">
    <xdr:from>
      <xdr:col>3</xdr:col>
      <xdr:colOff>98227</xdr:colOff>
      <xdr:row>13</xdr:row>
      <xdr:rowOff>174307</xdr:rowOff>
    </xdr:from>
    <xdr:to>
      <xdr:col>4</xdr:col>
      <xdr:colOff>564952</xdr:colOff>
      <xdr:row>17</xdr:row>
      <xdr:rowOff>148590</xdr:rowOff>
    </xdr:to>
    <xdr:sp macro="">
      <xdr:nvSpPr>
        <xdr:cNvPr id="2" name="TextBox 7">
          <a:extLst xmlns:a="http://schemas.openxmlformats.org/drawingml/2006/main">
            <a:ext uri="{FF2B5EF4-FFF2-40B4-BE49-F238E27FC236}">
              <a16:creationId xmlns:a16="http://schemas.microsoft.com/office/drawing/2014/main" id="{C448DC92-DA79-419E-B3BB-D1F5104E6EA1}"/>
            </a:ext>
          </a:extLst>
        </xdr:cNvPr>
        <xdr:cNvSpPr txBox="1"/>
      </xdr:nvSpPr>
      <xdr:spPr>
        <a:xfrm>
          <a:off x="2142766" y="2498324"/>
          <a:ext cx="1108094" cy="710946"/>
        </a:xfrm>
        <a:prstGeom prst="rect">
          <a:avLst/>
        </a:prstGeom>
        <a:noFill/>
        <a:ln>
          <a:noFill/>
        </a:ln>
      </xdr:spPr>
      <xdr:txBody>
        <a:bodyPr wrap="square" bIns="36000" rtlCol="0" lIns="36000" rIns="36000" tIns="36000">
          <a:spAutoFit/>
        </a:bodyPr>
        <a:lstStyle xmlns:a="http://schemas.openxmlformats.org/drawingml/2006/main">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b="1" i="0" sz="1100">
              <a:solidFill>
                <a:srgbClr val="000000"/>
              </a:solidFill>
              <a:latin typeface="Arial"/>
            </a:rPr>
            <a:t>Stage 1</a:t>
          </a:r>
          <a:endParaRPr lang="en-GB" b="1" i="0" sz="1100">
            <a:solidFill>
              <a:srgbClr val="000000"/>
            </a:solidFill>
            <a:latin typeface="Arial"/>
          </a:endParaRPr>
        </a:p>
        <a:p>
          <a:r>
            <a:rPr lang="en-GB" b="0" i="0" sz="1100">
              <a:solidFill>
                <a:srgbClr val="000000"/>
              </a:solidFill>
              <a:latin typeface="Arial"/>
            </a:rPr>
            <a:t>Nutrient loading from additional wastewater </a:t>
          </a:r>
          <a:endParaRPr lang="en-GB" b="0" i="0" sz="1100">
            <a:solidFill>
              <a:srgbClr val="000000"/>
            </a:solidFill>
            <a:latin typeface="Arial"/>
          </a:endParaRPr>
        </a:p>
      </xdr:txBody>
    </xdr:sp>
    <xdr:clientData/>
  </xdr:twoCellAnchor>
  <xdr:twoCellAnchor editAs="twoCell">
    <xdr:from>
      <xdr:col>5</xdr:col>
      <xdr:colOff>73819</xdr:colOff>
      <xdr:row>13</xdr:row>
      <xdr:rowOff>183832</xdr:rowOff>
    </xdr:from>
    <xdr:to>
      <xdr:col>6</xdr:col>
      <xdr:colOff>542330</xdr:colOff>
      <xdr:row>17</xdr:row>
      <xdr:rowOff>158115</xdr:rowOff>
    </xdr:to>
    <xdr:sp macro="">
      <xdr:nvSpPr>
        <xdr:cNvPr id="3" name="TextBox 14">
          <a:extLst xmlns:a="http://schemas.openxmlformats.org/drawingml/2006/main">
            <a:ext uri="{FF2B5EF4-FFF2-40B4-BE49-F238E27FC236}">
              <a16:creationId xmlns:a16="http://schemas.microsoft.com/office/drawing/2014/main" id="{7B037487-0D02-45C1-9C96-D814E1FF8018}"/>
            </a:ext>
          </a:extLst>
        </xdr:cNvPr>
        <xdr:cNvSpPr txBox="1"/>
      </xdr:nvSpPr>
      <xdr:spPr>
        <a:xfrm>
          <a:off x="3401320" y="2507849"/>
          <a:ext cx="1109560" cy="710946"/>
        </a:xfrm>
        <a:prstGeom prst="rect">
          <a:avLst/>
        </a:prstGeom>
        <a:noFill/>
        <a:ln>
          <a:noFill/>
        </a:ln>
      </xdr:spPr>
      <xdr:txBody>
        <a:bodyPr wrap="square" bIns="36000" rtlCol="0" lIns="36000" rIns="36000" tIns="36000">
          <a:spAutoFit/>
        </a:bodyPr>
        <a:lstStyle xmlns:a="http://schemas.openxmlformats.org/drawingml/2006/main">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b="1" i="0" sz="1100">
              <a:solidFill>
                <a:srgbClr val="000000"/>
              </a:solidFill>
              <a:latin typeface="Arial"/>
            </a:rPr>
            <a:t>Stage 2</a:t>
          </a:r>
          <a:endParaRPr lang="en-GB" b="1" i="0" sz="1100">
            <a:solidFill>
              <a:srgbClr val="000000"/>
            </a:solidFill>
            <a:latin typeface="Arial"/>
          </a:endParaRPr>
        </a:p>
        <a:p>
          <a:r>
            <a:rPr lang="en-GB" b="0" i="0" sz="1100">
              <a:solidFill>
                <a:srgbClr val="000000"/>
              </a:solidFill>
              <a:latin typeface="Arial"/>
            </a:rPr>
            <a:t>Nutrient loading from current land use</a:t>
          </a:r>
          <a:endParaRPr lang="en-GB" b="0" i="0" sz="1100">
            <a:solidFill>
              <a:srgbClr val="000000"/>
            </a:solidFill>
            <a:latin typeface="Arial"/>
          </a:endParaRPr>
        </a:p>
      </xdr:txBody>
    </xdr:sp>
    <xdr:clientData/>
  </xdr:twoCellAnchor>
  <xdr:twoCellAnchor editAs="twoCell">
    <xdr:from>
      <xdr:col>7</xdr:col>
      <xdr:colOff>63103</xdr:colOff>
      <xdr:row>13</xdr:row>
      <xdr:rowOff>183832</xdr:rowOff>
    </xdr:from>
    <xdr:to>
      <xdr:col>8</xdr:col>
      <xdr:colOff>529828</xdr:colOff>
      <xdr:row>17</xdr:row>
      <xdr:rowOff>158115</xdr:rowOff>
    </xdr:to>
    <xdr:sp macro="">
      <xdr:nvSpPr>
        <xdr:cNvPr id="4" name="TextBox 15">
          <a:extLst xmlns:a="http://schemas.openxmlformats.org/drawingml/2006/main">
            <a:ext uri="{FF2B5EF4-FFF2-40B4-BE49-F238E27FC236}">
              <a16:creationId xmlns:a16="http://schemas.microsoft.com/office/drawing/2014/main" id="{8A90D7DA-204C-4F32-A42E-2B599DEA6FF0}"/>
            </a:ext>
          </a:extLst>
        </xdr:cNvPr>
        <xdr:cNvSpPr txBox="1"/>
      </xdr:nvSpPr>
      <xdr:spPr>
        <a:xfrm>
          <a:off x="4673063" y="2507849"/>
          <a:ext cx="1108095" cy="710946"/>
        </a:xfrm>
        <a:prstGeom prst="rect">
          <a:avLst/>
        </a:prstGeom>
        <a:noFill/>
        <a:ln>
          <a:noFill/>
        </a:ln>
      </xdr:spPr>
      <xdr:txBody>
        <a:bodyPr wrap="square" bIns="36000" rtlCol="0" lIns="36000" rIns="36000" tIns="36000">
          <a:spAutoFit/>
        </a:bodyPr>
        <a:lstStyle xmlns:a="http://schemas.openxmlformats.org/drawingml/2006/main">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b="1" i="0" sz="1100">
              <a:solidFill>
                <a:srgbClr val="000000"/>
              </a:solidFill>
              <a:latin typeface="Arial"/>
            </a:rPr>
            <a:t>Stage 3</a:t>
          </a:r>
          <a:endParaRPr lang="en-GB" b="1" i="0" sz="1100">
            <a:solidFill>
              <a:srgbClr val="000000"/>
            </a:solidFill>
            <a:latin typeface="Arial"/>
          </a:endParaRPr>
        </a:p>
        <a:p>
          <a:r>
            <a:rPr lang="en-GB" b="0" i="0" sz="1100">
              <a:solidFill>
                <a:srgbClr val="000000"/>
              </a:solidFill>
              <a:latin typeface="Arial"/>
            </a:rPr>
            <a:t>Nutrient loading from future land use</a:t>
          </a:r>
          <a:endParaRPr lang="en-GB" b="0" i="0" sz="1100">
            <a:solidFill>
              <a:srgbClr val="000000"/>
            </a:solidFill>
            <a:latin typeface="Arial"/>
          </a:endParaRPr>
        </a:p>
      </xdr:txBody>
    </xdr:sp>
    <xdr:clientData/>
  </xdr:twoCellAnchor>
  <xdr:twoCellAnchor editAs="twoCell">
    <xdr:from>
      <xdr:col>9</xdr:col>
      <xdr:colOff>48220</xdr:colOff>
      <xdr:row>14</xdr:row>
      <xdr:rowOff>12382</xdr:rowOff>
    </xdr:from>
    <xdr:to>
      <xdr:col>10</xdr:col>
      <xdr:colOff>514945</xdr:colOff>
      <xdr:row>17</xdr:row>
      <xdr:rowOff>13335</xdr:rowOff>
    </xdr:to>
    <xdr:sp macro="">
      <xdr:nvSpPr>
        <xdr:cNvPr id="5" name="TextBox 16">
          <a:extLst xmlns:a="http://schemas.openxmlformats.org/drawingml/2006/main">
            <a:ext uri="{FF2B5EF4-FFF2-40B4-BE49-F238E27FC236}">
              <a16:creationId xmlns:a16="http://schemas.microsoft.com/office/drawing/2014/main" id="{6A4D98E2-2ADA-4A1E-A984-7C1312A52A9D}"/>
            </a:ext>
          </a:extLst>
        </xdr:cNvPr>
        <xdr:cNvSpPr txBox="1"/>
      </xdr:nvSpPr>
      <xdr:spPr>
        <a:xfrm>
          <a:off x="5941138" y="2520549"/>
          <a:ext cx="1108095" cy="553726"/>
        </a:xfrm>
        <a:prstGeom prst="rect">
          <a:avLst/>
        </a:prstGeom>
        <a:noFill/>
        <a:ln>
          <a:noFill/>
        </a:ln>
      </xdr:spPr>
      <xdr:txBody>
        <a:bodyPr wrap="square" bIns="36000" rtlCol="0" lIns="36000" rIns="36000" tIns="36000">
          <a:spAutoFit/>
        </a:bodyPr>
        <a:lstStyle xmlns:a="http://schemas.openxmlformats.org/drawingml/2006/main">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b="1" i="0" sz="1100">
              <a:solidFill>
                <a:srgbClr val="000000"/>
              </a:solidFill>
              <a:latin typeface="Arial"/>
            </a:rPr>
            <a:t>Stage 4</a:t>
          </a:r>
          <a:endParaRPr lang="en-GB" b="1" i="0" sz="1100">
            <a:solidFill>
              <a:srgbClr val="000000"/>
            </a:solidFill>
            <a:latin typeface="Arial"/>
          </a:endParaRPr>
        </a:p>
        <a:p>
          <a:r>
            <a:rPr lang="en-GB" b="0" i="0" sz="1100">
              <a:solidFill>
                <a:srgbClr val="000000"/>
              </a:solidFill>
              <a:latin typeface="Arial"/>
            </a:rPr>
            <a:t>Nutrient budget calculation</a:t>
          </a:r>
          <a:endParaRPr lang="en-GB" b="0" i="0" sz="1100">
            <a:solidFill>
              <a:srgbClr val="000000"/>
            </a:solidFill>
            <a:latin typeface="Arial"/>
          </a:endParaRPr>
        </a:p>
      </xdr:txBody>
    </xdr:sp>
    <xdr:clientData/>
  </xdr:twoCellAnchor>
  <xdr:twoCellAnchor editAs="oneCell">
    <xdr:from>
      <xdr:col>3</xdr:col>
      <xdr:colOff>0</xdr:colOff>
      <xdr:row>8</xdr:row>
      <xdr:rowOff>123825</xdr:rowOff>
    </xdr:from>
    <xdr:to>
      <xdr:col>5</xdr:col>
      <xdr:colOff>66675</xdr:colOff>
      <xdr:row>14</xdr:row>
      <xdr:rowOff>35242</xdr:rowOff>
    </xdr:to>
    <xdr:pic macro="">
      <xdr:nvPicPr>
        <xdr:cNvPr id="6" name="Picture 5">
          <a:hlinkClick xmlns:d6p1="http://schemas.openxmlformats.org/officeDocument/2006/relationships" d6p1:id="rId2"/>
          <a:extLst xmlns:a="http://schemas.openxmlformats.org/drawingml/2006/main">
            <a:ext uri="{FF2B5EF4-FFF2-40B4-BE49-F238E27FC236}">
              <a16:creationId xmlns:a16="http://schemas.microsoft.com/office/drawing/2014/main" id="{31087038-2426-44D7-AB37-191CAD6E7844}"/>
            </a:ext>
          </a:extLst>
        </xdr:cNvPr>
        <xdr:cNvPicPr>
          <a:picLocks noChangeAspect="1"/>
        </xdr:cNvPicPr>
      </xdr:nvPicPr>
      <xdr:blipFill>
        <a:blip xmlns:d5p1="http://schemas.openxmlformats.org/officeDocument/2006/relationships" d5p1:embed="rId1">
          <a:extLst>
            <a:ext uri="{28A0092B-C50C-407E-A947-70E740481C1C}">
              <a14:useLocalDpi xmlns:a14="http://schemas.microsoft.com/office/drawing/2010/main" val="0"/>
            </a:ext>
          </a:extLst>
        </a:blip>
        <a:srcRect/>
        <a:stretch>
          <a:fillRect/>
        </a:stretch>
      </xdr:blipFill>
      <xdr:spPr>
        <a:xfrm>
          <a:off x="2044700" y="1527176"/>
          <a:ext cx="1346201" cy="1346201"/>
        </a:xfrm>
        <a:prstGeom xmlns:a="http://schemas.openxmlformats.org/drawingml/2006/main" prst="rect">
          <a:avLst/>
        </a:prstGeom>
        <a:noFill/>
      </xdr:spPr>
    </xdr:pic>
    <xdr:clientData/>
  </xdr:twoCellAnchor>
  <xdr:twoCellAnchor editAs="oneCell">
    <xdr:from>
      <xdr:col>6</xdr:col>
      <xdr:colOff>569119</xdr:colOff>
      <xdr:row>8</xdr:row>
      <xdr:rowOff>120967</xdr:rowOff>
    </xdr:from>
    <xdr:to>
      <xdr:col>9</xdr:col>
      <xdr:colOff>36314</xdr:colOff>
      <xdr:row>14</xdr:row>
      <xdr:rowOff>29527</xdr:rowOff>
    </xdr:to>
    <xdr:pic macro="">
      <xdr:nvPicPr>
        <xdr:cNvPr id="7" name="Picture 6">
          <a:hlinkClick xmlns:d6p1="http://schemas.openxmlformats.org/officeDocument/2006/relationships" d6p1:id="rId4"/>
          <a:extLst xmlns:a="http://schemas.openxmlformats.org/drawingml/2006/main">
            <a:ext uri="{FF2B5EF4-FFF2-40B4-BE49-F238E27FC236}">
              <a16:creationId xmlns:a16="http://schemas.microsoft.com/office/drawing/2014/main" id="{F7557E5C-8CE7-4D55-9698-069C02422BC1}"/>
            </a:ext>
          </a:extLst>
        </xdr:cNvPr>
        <xdr:cNvPicPr>
          <a:picLocks noChangeAspect="1"/>
        </xdr:cNvPicPr>
      </xdr:nvPicPr>
      <xdr:blipFill>
        <a:blip xmlns:d5p1="http://schemas.openxmlformats.org/officeDocument/2006/relationships" d5p1:embed="rId3">
          <a:extLst>
            <a:ext uri="{28A0092B-C50C-407E-A947-70E740481C1C}">
              <a14:useLocalDpi xmlns:a14="http://schemas.microsoft.com/office/drawing/2010/main" val="0"/>
            </a:ext>
          </a:extLst>
        </a:blip>
        <a:srcRect/>
        <a:stretch>
          <a:fillRect/>
        </a:stretch>
      </xdr:blipFill>
      <xdr:spPr>
        <a:xfrm>
          <a:off x="4538143" y="1524776"/>
          <a:ext cx="1381420" cy="1381420"/>
        </a:xfrm>
        <a:prstGeom xmlns:a="http://schemas.openxmlformats.org/drawingml/2006/main" prst="rect">
          <a:avLst/>
        </a:prstGeom>
        <a:noFill/>
      </xdr:spPr>
    </xdr:pic>
    <xdr:clientData/>
  </xdr:twoCellAnchor>
  <xdr:twoCellAnchor editAs="oneCell">
    <xdr:from>
      <xdr:col>4</xdr:col>
      <xdr:colOff>586978</xdr:colOff>
      <xdr:row>8</xdr:row>
      <xdr:rowOff>0</xdr:rowOff>
    </xdr:from>
    <xdr:to>
      <xdr:col>7</xdr:col>
      <xdr:colOff>55959</xdr:colOff>
      <xdr:row>13</xdr:row>
      <xdr:rowOff>85725</xdr:rowOff>
    </xdr:to>
    <xdr:pic macro="">
      <xdr:nvPicPr>
        <xdr:cNvPr id="8" name="Picture 7">
          <a:hlinkClick xmlns:d6p1="http://schemas.openxmlformats.org/officeDocument/2006/relationships" d6p1:id="rId6"/>
          <a:extLst xmlns:a="http://schemas.openxmlformats.org/drawingml/2006/main">
            <a:ext uri="{FF2B5EF4-FFF2-40B4-BE49-F238E27FC236}">
              <a16:creationId xmlns:a16="http://schemas.microsoft.com/office/drawing/2014/main" id="{E8805016-51A2-42CD-BA6B-0BB5820DBF00}"/>
            </a:ext>
          </a:extLst>
        </xdr:cNvPr>
        <xdr:cNvPicPr>
          <a:picLocks noChangeAspect="1"/>
        </xdr:cNvPicPr>
      </xdr:nvPicPr>
      <xdr:blipFill>
        <a:blip xmlns:d5p1="http://schemas.openxmlformats.org/officeDocument/2006/relationships" d5p1:embed="rId5">
          <a:extLst>
            <a:ext uri="{28A0092B-C50C-407E-A947-70E740481C1C}">
              <a14:useLocalDpi xmlns:a14="http://schemas.microsoft.com/office/drawing/2010/main" val="0"/>
            </a:ext>
          </a:extLst>
        </a:blip>
        <a:srcRect/>
        <a:stretch>
          <a:fillRect/>
        </a:stretch>
      </xdr:blipFill>
      <xdr:spPr>
        <a:xfrm>
          <a:off x="3273028" y="1403350"/>
          <a:ext cx="1386835" cy="1386835"/>
        </a:xfrm>
        <a:prstGeom xmlns:a="http://schemas.openxmlformats.org/drawingml/2006/main" prst="rect">
          <a:avLst/>
        </a:prstGeom>
        <a:noFill/>
      </xdr:spPr>
    </xdr:pic>
    <xdr:clientData/>
  </xdr:twoCellAnchor>
  <xdr:twoCellAnchor editAs="oneCell">
    <xdr:from>
      <xdr:col>8</xdr:col>
      <xdr:colOff>553045</xdr:colOff>
      <xdr:row>8</xdr:row>
      <xdr:rowOff>0</xdr:rowOff>
    </xdr:from>
    <xdr:to>
      <xdr:col>11</xdr:col>
      <xdr:colOff>28575</xdr:colOff>
      <xdr:row>13</xdr:row>
      <xdr:rowOff>86677</xdr:rowOff>
    </xdr:to>
    <xdr:pic macro="">
      <xdr:nvPicPr>
        <xdr:cNvPr id="9" name="Picture 8">
          <a:hlinkClick xmlns:d6p1="http://schemas.openxmlformats.org/officeDocument/2006/relationships" d6p1:id="rId8"/>
          <a:extLst xmlns:a="http://schemas.openxmlformats.org/drawingml/2006/main">
            <a:ext uri="{FF2B5EF4-FFF2-40B4-BE49-F238E27FC236}">
              <a16:creationId xmlns:a16="http://schemas.microsoft.com/office/drawing/2014/main" id="{79CB6D84-9C22-4B84-855A-FFD510A38830}"/>
            </a:ext>
          </a:extLst>
        </xdr:cNvPr>
        <xdr:cNvPicPr>
          <a:picLocks noChangeAspect="1"/>
        </xdr:cNvPicPr>
      </xdr:nvPicPr>
      <xdr:blipFill>
        <a:blip xmlns:d5p1="http://schemas.openxmlformats.org/officeDocument/2006/relationships" d5p1:embed="rId7">
          <a:extLst>
            <a:ext uri="{28A0092B-C50C-407E-A947-70E740481C1C}">
              <a14:useLocalDpi xmlns:a14="http://schemas.microsoft.com/office/drawing/2010/main" val="0"/>
            </a:ext>
          </a:extLst>
        </a:blip>
        <a:srcRect/>
        <a:stretch>
          <a:fillRect/>
        </a:stretch>
      </xdr:blipFill>
      <xdr:spPr>
        <a:xfrm>
          <a:off x="5804318" y="1403350"/>
          <a:ext cx="1393145" cy="1393145"/>
        </a:xfrm>
        <a:prstGeom xmlns:a="http://schemas.openxmlformats.org/drawingml/2006/main" prst="rect">
          <a:avLst/>
        </a:prstGeom>
        <a:noFill/>
      </xdr:spPr>
    </xdr:pic>
    <xdr:clientData/>
  </xdr:twoCellAnchor>
  <xdr:twoCellAnchor editAs="oneCell">
    <xdr:from>
      <xdr:col>0</xdr:col>
      <xdr:colOff>373261</xdr:colOff>
      <xdr:row>66</xdr:row>
      <xdr:rowOff>99060</xdr:rowOff>
    </xdr:from>
    <xdr:to>
      <xdr:col>12</xdr:col>
      <xdr:colOff>523838</xdr:colOff>
      <xdr:row>70</xdr:row>
      <xdr:rowOff>256222</xdr:rowOff>
    </xdr:to>
    <xdr:pic macro="">
      <xdr:nvPicPr>
        <xdr:cNvPr id="10" name="Picture 9">
          <a:extLst xmlns:a="http://schemas.openxmlformats.org/drawingml/2006/main">
            <a:ext uri="{FF2B5EF4-FFF2-40B4-BE49-F238E27FC236}">
              <a16:creationId xmlns:a16="http://schemas.microsoft.com/office/drawing/2014/main" id="{356353B6-D166-4792-ABD3-5F1C9808150C}"/>
            </a:ext>
          </a:extLst>
        </xdr:cNvPr>
        <xdr:cNvPicPr>
          <a:picLocks noChangeAspect="1"/>
        </xdr:cNvPicPr>
      </xdr:nvPicPr>
      <xdr:blipFill>
        <a:blip xmlns:d5p1="http://schemas.openxmlformats.org/officeDocument/2006/relationships" d5p1:embed="rId9">
          <a:extLst>
            <a:ext uri="{28A0092B-C50C-407E-A947-70E740481C1C}">
              <a14:useLocalDpi xmlns:a14="http://schemas.microsoft.com/office/drawing/2010/main" val="0"/>
            </a:ext>
          </a:extLst>
        </a:blip>
        <a:srcRect/>
        <a:stretch>
          <a:fillRect/>
        </a:stretch>
      </xdr:blipFill>
      <xdr:spPr>
        <a:xfrm>
          <a:off x="373254" y="17593953"/>
          <a:ext cx="7938897" cy="7938897"/>
        </a:xfrm>
        <a:prstGeom xmlns:a="http://schemas.openxmlformats.org/drawingml/2006/main" prst="rect">
          <a:avLst/>
        </a:prstGeom>
        <a:noFill/>
      </xdr:spPr>
    </xdr:pic>
    <xdr:clientData/>
  </xdr:twoCellAnchor>
  <xdr:twoCellAnchor editAs="oneCell">
    <xdr:from>
      <xdr:col>2</xdr:col>
      <xdr:colOff>562012</xdr:colOff>
      <xdr:row>27</xdr:row>
      <xdr:rowOff>104775</xdr:rowOff>
    </xdr:from>
    <xdr:to>
      <xdr:col>11</xdr:col>
      <xdr:colOff>101798</xdr:colOff>
      <xdr:row>35</xdr:row>
      <xdr:rowOff>428625</xdr:rowOff>
    </xdr:to>
    <xdr:pic macro="">
      <xdr:nvPicPr>
        <xdr:cNvPr id="11" name="Picture 10">
          <a:extLst xmlns:a="http://schemas.openxmlformats.org/drawingml/2006/main">
            <a:ext uri="{FF2B5EF4-FFF2-40B4-BE49-F238E27FC236}">
              <a16:creationId xmlns:a16="http://schemas.microsoft.com/office/drawing/2014/main" id="{FFA07FBB-8700-4AFD-836E-3EB795229206}"/>
            </a:ext>
          </a:extLst>
        </xdr:cNvPr>
        <xdr:cNvPicPr>
          <a:picLocks noChangeAspect="1"/>
        </xdr:cNvPicPr>
      </xdr:nvPicPr>
      <xdr:blipFill>
        <a:blip xmlns:d5p1="http://schemas.openxmlformats.org/officeDocument/2006/relationships" d5p1:embed="rId10">
          <a:extLst/>
        </a:blip>
        <a:srcRect xmlns:a="http://schemas.openxmlformats.org/drawingml/2006/main" l="51428" t="38163" r="34591" b="44722"/>
        <a:stretch>
          <a:fillRect/>
        </a:stretch>
      </xdr:blipFill>
      <xdr:spPr>
        <a:xfrm>
          <a:off x="1844677" y="5127629"/>
          <a:ext cx="5407329" cy="5407329"/>
        </a:xfrm>
        <a:prstGeom xmlns:a="http://schemas.openxmlformats.org/drawingml/2006/main"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twoCell">
    <xdr:from>
      <xdr:col>1</xdr:col>
      <xdr:colOff>19952</xdr:colOff>
      <xdr:row>2</xdr:row>
      <xdr:rowOff>57150</xdr:rowOff>
    </xdr:from>
    <xdr:to>
      <xdr:col>3</xdr:col>
      <xdr:colOff>0</xdr:colOff>
      <xdr:row>4</xdr:row>
      <xdr:rowOff>72390</xdr:rowOff>
    </xdr:to>
    <xdr:sp macro="">
      <xdr:nvSpPr>
        <xdr:cNvPr id="2" name="TextBox 1">
          <a:extLst xmlns:a="http://schemas.openxmlformats.org/drawingml/2006/main">
            <a:ext uri="{FF2B5EF4-FFF2-40B4-BE49-F238E27FC236}">
              <a16:creationId xmlns:a16="http://schemas.microsoft.com/office/drawing/2014/main" id="{F6659CFF-5286-40D7-98F4-B757E28119DB}"/>
            </a:ext>
          </a:extLst>
        </xdr:cNvPr>
        <xdr:cNvSpPr txBox="1"/>
      </xdr:nvSpPr>
      <xdr:spPr>
        <a:xfrm>
          <a:off x="628650" y="438149"/>
          <a:ext cx="3629025" cy="396000"/>
        </a:xfrm>
        <a:prstGeom prst="rect">
          <a:avLst/>
        </a:prstGeom>
        <a:solidFill>
          <a:srgbClr val="FFFFFF"/>
        </a:solidFill>
        <a:ln w="38100" cmpd="sng">
          <a:solidFill>
            <a:srgbClr val="449669"/>
          </a:solidFill>
          <a:headEnd type="none" w="med" len="med"/>
          <a:tailEnd type="none" w="med" len="med"/>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xdr:style>
      <xdr:txBody>
        <a:bodyPr vertOverflow="clip" horzOverflow="clip" wrap="square" rtlCol="0" anchor="ctr"/>
        <a:lstStyle xmlns:a="http://schemas.openxmlformats.org/drawingml/2006/main"/>
        <a:p>
          <a:pPr algn="ctr"/>
          <a:r>
            <a:rPr lang="en-GB" b="1" i="0" sz="1800">
              <a:solidFill>
                <a:srgbClr val="449669"/>
              </a:solidFill>
              <a:latin typeface="Century Gothic"/>
            </a:rPr>
            <a:t>Stage</a:t>
          </a:r>
          <a:r>
            <a:rPr lang="en-GB" b="1" i="0" sz="1800">
              <a:solidFill>
                <a:srgbClr val="449669"/>
              </a:solidFill>
              <a:latin typeface="Century Gothic"/>
            </a:rPr>
            <a:t> 4</a:t>
          </a:r>
          <a:endParaRPr lang="en-GB" b="1" i="0" sz="1800">
            <a:solidFill>
              <a:srgbClr val="000000"/>
            </a:solidFill>
            <a:latin typeface="Century Gothic"/>
          </a:endParaRPr>
        </a:p>
        <a:p>
          <a:pPr algn="ctr"/>
          <a:endParaRPr lang="en-GB" b="1" i="0" sz="1800">
            <a:solidFill>
              <a:srgbClr val="000000"/>
            </a:solidFill>
            <a:latin typeface="Century Gothic"/>
          </a:endParaRPr>
        </a:p>
      </xdr:txBody>
    </xdr:sp>
    <xdr:clientData/>
  </xdr:twoCellAnchor>
  <xdr:twoCellAnchor editAs="twoCell">
    <xdr:from>
      <xdr:col>0</xdr:col>
      <xdr:colOff>552450</xdr:colOff>
      <xdr:row>4</xdr:row>
      <xdr:rowOff>180975</xdr:rowOff>
    </xdr:from>
    <xdr:to>
      <xdr:col>3</xdr:col>
      <xdr:colOff>66675</xdr:colOff>
      <xdr:row>6</xdr:row>
      <xdr:rowOff>133350</xdr:rowOff>
    </xdr:to>
    <xdr:sp macro="">
      <xdr:nvSpPr>
        <xdr:cNvPr id="3" name="TextBox 2">
          <a:extLst xmlns:a="http://schemas.openxmlformats.org/drawingml/2006/main">
            <a:ext uri="{FF2B5EF4-FFF2-40B4-BE49-F238E27FC236}">
              <a16:creationId xmlns:a16="http://schemas.microsoft.com/office/drawing/2014/main" id="{DC6F458F-5243-4801-8D6D-68E79E45F72B}"/>
            </a:ext>
          </a:extLst>
        </xdr:cNvPr>
        <xdr:cNvSpPr txBox="1"/>
      </xdr:nvSpPr>
      <xdr:spPr>
        <a:xfrm>
          <a:off x="552450" y="942975"/>
          <a:ext cx="3771900" cy="361949"/>
        </a:xfrm>
        <a:prstGeom prst="rect">
          <a:avLst/>
        </a:prstGeom>
        <a:solidFill>
          <a:srgbClr val="FFFFFF"/>
        </a:solidFill>
        <a:ln>
          <a:noFill/>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xdr:style>
      <xdr:txBody>
        <a:bodyPr vertOverflow="clip" horzOverflow="clip" wrap="square" rtlCol="0" anchor="ctr"/>
        <a:lstStyle xmlns:a="http://schemas.openxmlformats.org/drawingml/2006/main"/>
        <a:p>
          <a:pPr algn="ctr"/>
          <a:r>
            <a:rPr lang="en-GB" b="1" i="0" sz="1200">
              <a:solidFill>
                <a:srgbClr val="000000"/>
              </a:solidFill>
              <a:latin typeface="Century Gothic"/>
            </a:rPr>
            <a:t>Calculated</a:t>
          </a:r>
          <a:r>
            <a:rPr lang="en-GB" b="1" i="0" sz="1200">
              <a:solidFill>
                <a:srgbClr val="000000"/>
              </a:solidFill>
              <a:latin typeface="Century Gothic"/>
            </a:rPr>
            <a:t> </a:t>
          </a:r>
          <a:r>
            <a:rPr lang="en-GB" b="1" i="0" sz="1200">
              <a:solidFill>
                <a:srgbClr val="000000"/>
              </a:solidFill>
              <a:latin typeface="Century Gothic"/>
            </a:rPr>
            <a:t>Outputs</a:t>
          </a:r>
          <a:endParaRPr lang="en-GB" b="1" i="0" sz="1200">
            <a:solidFill>
              <a:srgbClr val="000000"/>
            </a:solidFill>
            <a:latin typeface="Century Gothic"/>
          </a:endParaRPr>
        </a:p>
      </xdr:txBody>
    </xdr:sp>
    <xdr:clientData/>
  </xdr:twoCellAnchor>
  <xdr:twoCellAnchor>
    <xdr:from>
      <xdr:col>1</xdr:col>
      <xdr:colOff>1558091</xdr:colOff>
      <xdr:row>5</xdr:row>
      <xdr:rowOff>19050</xdr:rowOff>
    </xdr:from>
    <xdr:to>
      <xdr:col>2</xdr:col>
      <xdr:colOff>257063</xdr:colOff>
      <xdr:row>5</xdr:row>
      <xdr:rowOff>19050</xdr:rowOff>
    </xdr:to>
    <xdr:cxnSp macro="">
      <xdr:nvCxnSpPr>
        <xdr:cNvPr id="4" name="Straight Connector 3"/>
        <xdr:cNvCxnSpPr/>
      </xdr:nvCxnSpPr>
      <xdr:spPr>
        <a:xfrm>
          <a:off x="2168156" y="971550"/>
          <a:ext cx="556437" cy="0"/>
        </a:xfrm>
        <a:prstGeom prst="line">
          <a:avLst xmlns:a="http://schemas.openxmlformats.org/drawingml/2006/main"/>
        </a:prstGeom>
        <a:noFill/>
        <a:ln xmlns:a="http://schemas.openxmlformats.org/drawingml/2006/main" w="28575">
          <a:solidFill>
            <a:srgbClr val="449669"/>
          </a:solidFill>
        </a:ln>
      </xdr:spPr>
      <xdr:style xmlns:xdr="http://schemas.openxmlformats.org/drawingml/2006/spreadsheetDrawing">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xdr:style>
    </xdr:cxnSp>
    <xdr:clientData/>
  </xdr:twoCellAnchor>
  <xdr:twoCellAnchor>
    <xdr:from>
      <xdr:col>1</xdr:col>
      <xdr:colOff>1558091</xdr:colOff>
      <xdr:row>6</xdr:row>
      <xdr:rowOff>95250</xdr:rowOff>
    </xdr:from>
    <xdr:to>
      <xdr:col>2</xdr:col>
      <xdr:colOff>257063</xdr:colOff>
      <xdr:row>6</xdr:row>
      <xdr:rowOff>95250</xdr:rowOff>
    </xdr:to>
    <xdr:cxnSp macro="">
      <xdr:nvCxnSpPr>
        <xdr:cNvPr id="5" name="Straight Connector 4"/>
        <xdr:cNvCxnSpPr/>
      </xdr:nvCxnSpPr>
      <xdr:spPr>
        <a:xfrm>
          <a:off x="2168156" y="1266825"/>
          <a:ext cx="556437" cy="0"/>
        </a:xfrm>
        <a:prstGeom prst="line">
          <a:avLst xmlns:a="http://schemas.openxmlformats.org/drawingml/2006/main"/>
        </a:prstGeom>
        <a:noFill/>
        <a:ln xmlns:a="http://schemas.openxmlformats.org/drawingml/2006/main" w="28575">
          <a:solidFill>
            <a:srgbClr val="449669"/>
          </a:solidFill>
        </a:ln>
      </xdr:spPr>
      <xdr:style xmlns:xdr="http://schemas.openxmlformats.org/drawingml/2006/spreadsheetDrawing">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xdr:style>
    </xdr:cxnSp>
    <xdr:clientData/>
  </xdr:twoCellAnchor>
  <xdr:twoCellAnchor editAs="twoCell">
    <xdr:from>
      <xdr:col>8</xdr:col>
      <xdr:colOff>174427</xdr:colOff>
      <xdr:row>18</xdr:row>
      <xdr:rowOff>69532</xdr:rowOff>
    </xdr:from>
    <xdr:to>
      <xdr:col>10</xdr:col>
      <xdr:colOff>164902</xdr:colOff>
      <xdr:row>20</xdr:row>
      <xdr:rowOff>28575</xdr:rowOff>
    </xdr:to>
    <xdr:sp macro="">
      <xdr:nvSpPr>
        <xdr:cNvPr id="6" name="TextBox 7">
          <a:extLst xmlns:a="http://schemas.openxmlformats.org/drawingml/2006/main">
            <a:ext uri="{FF2B5EF4-FFF2-40B4-BE49-F238E27FC236}">
              <a16:creationId xmlns:a16="http://schemas.microsoft.com/office/drawing/2014/main" id="{A33283A2-3285-46F7-84EB-4AA89F75F0AF}"/>
            </a:ext>
          </a:extLst>
        </xdr:cNvPr>
        <xdr:cNvSpPr txBox="1"/>
      </xdr:nvSpPr>
      <xdr:spPr>
        <a:xfrm>
          <a:off x="8099066" y="3879449"/>
          <a:ext cx="1076344" cy="397151"/>
        </a:xfrm>
        <a:prstGeom prst="rect">
          <a:avLst/>
        </a:prstGeom>
        <a:noFill/>
        <a:ln>
          <a:noFill/>
        </a:ln>
      </xdr:spPr>
      <xdr:txBody>
        <a:bodyPr wrap="square" bIns="36000" rtlCol="0" lIns="36000" rIns="36000" tIns="36000">
          <a:spAutoFit/>
        </a:bodyPr>
        <a:lstStyle xmlns:a="http://schemas.openxmlformats.org/drawingml/2006/main">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b="1" i="0" sz="1100">
              <a:solidFill>
                <a:srgbClr val="000000"/>
              </a:solidFill>
              <a:latin typeface="Arial"/>
            </a:rPr>
            <a:t>Stage 1</a:t>
          </a:r>
          <a:endParaRPr lang="en-GB" b="1" i="0" sz="1100">
            <a:solidFill>
              <a:srgbClr val="000000"/>
            </a:solidFill>
            <a:latin typeface="Arial"/>
          </a:endParaRPr>
        </a:p>
        <a:p>
          <a:r>
            <a:rPr lang="en-GB" b="0" i="0" sz="1100">
              <a:solidFill>
                <a:srgbClr val="000000"/>
              </a:solidFill>
              <a:latin typeface="Arial"/>
            </a:rPr>
            <a:t>Value:</a:t>
          </a:r>
          <a:endParaRPr lang="en-GB" b="0" i="0" sz="1100">
            <a:solidFill>
              <a:srgbClr val="000000"/>
            </a:solidFill>
            <a:latin typeface="Arial"/>
          </a:endParaRPr>
        </a:p>
      </xdr:txBody>
    </xdr:sp>
    <xdr:clientData/>
  </xdr:twoCellAnchor>
  <xdr:twoCellAnchor editAs="twoCell">
    <xdr:from>
      <xdr:col>10</xdr:col>
      <xdr:colOff>283369</xdr:colOff>
      <xdr:row>18</xdr:row>
      <xdr:rowOff>79057</xdr:rowOff>
    </xdr:from>
    <xdr:to>
      <xdr:col>12</xdr:col>
      <xdr:colOff>142280</xdr:colOff>
      <xdr:row>21</xdr:row>
      <xdr:rowOff>158115</xdr:rowOff>
    </xdr:to>
    <xdr:sp macro="">
      <xdr:nvSpPr>
        <xdr:cNvPr id="7" name="TextBox 14">
          <a:extLst xmlns:a="http://schemas.openxmlformats.org/drawingml/2006/main">
            <a:ext uri="{FF2B5EF4-FFF2-40B4-BE49-F238E27FC236}">
              <a16:creationId xmlns:a16="http://schemas.microsoft.com/office/drawing/2014/main" id="{568BEE80-E58D-4EA6-8C38-17AB8BAA4BAA}"/>
            </a:ext>
          </a:extLst>
        </xdr:cNvPr>
        <xdr:cNvSpPr txBox="1"/>
      </xdr:nvSpPr>
      <xdr:spPr>
        <a:xfrm>
          <a:off x="9294120" y="3888974"/>
          <a:ext cx="1077810" cy="736346"/>
        </a:xfrm>
        <a:prstGeom prst="rect">
          <a:avLst/>
        </a:prstGeom>
        <a:noFill/>
        <a:ln>
          <a:noFill/>
        </a:ln>
      </xdr:spPr>
      <xdr:txBody>
        <a:bodyPr wrap="square" bIns="36000" rtlCol="0" lIns="36000" rIns="36000" tIns="36000">
          <a:spAutoFit/>
        </a:bodyPr>
        <a:lstStyle xmlns:a="http://schemas.openxmlformats.org/drawingml/2006/main">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b="1" i="0" sz="1100">
              <a:solidFill>
                <a:srgbClr val="000000"/>
              </a:solidFill>
              <a:latin typeface="Arial"/>
            </a:rPr>
            <a:t>Stage 2</a:t>
          </a:r>
          <a:endParaRPr lang="en-GB" b="1" i="0" sz="1100">
            <a:solidFill>
              <a:srgbClr val="000000"/>
            </a:solidFill>
            <a:latin typeface="Arial"/>
          </a:endParaRPr>
        </a:p>
        <a:p>
          <a:r>
            <a:rPr lang="en-GB" b="0" i="0" sz="1100">
              <a:solidFill>
                <a:srgbClr val="000000"/>
              </a:solidFill>
              <a:latin typeface="Arial"/>
            </a:rPr>
            <a:t>Nutrient loading from current land use</a:t>
          </a:r>
          <a:endParaRPr lang="en-GB" b="0" i="0" sz="1100">
            <a:solidFill>
              <a:srgbClr val="000000"/>
            </a:solidFill>
            <a:latin typeface="Arial"/>
          </a:endParaRPr>
        </a:p>
      </xdr:txBody>
    </xdr:sp>
    <xdr:clientData/>
  </xdr:twoCellAnchor>
  <xdr:twoCellAnchor editAs="twoCell">
    <xdr:from>
      <xdr:col>12</xdr:col>
      <xdr:colOff>272653</xdr:colOff>
      <xdr:row>18</xdr:row>
      <xdr:rowOff>79057</xdr:rowOff>
    </xdr:from>
    <xdr:to>
      <xdr:col>14</xdr:col>
      <xdr:colOff>129778</xdr:colOff>
      <xdr:row>21</xdr:row>
      <xdr:rowOff>158115</xdr:rowOff>
    </xdr:to>
    <xdr:sp macro="">
      <xdr:nvSpPr>
        <xdr:cNvPr id="8" name="TextBox 15">
          <a:extLst xmlns:a="http://schemas.openxmlformats.org/drawingml/2006/main">
            <a:ext uri="{FF2B5EF4-FFF2-40B4-BE49-F238E27FC236}">
              <a16:creationId xmlns:a16="http://schemas.microsoft.com/office/drawing/2014/main" id="{16337382-E2DF-4335-9BD5-709929421A4C}"/>
            </a:ext>
          </a:extLst>
        </xdr:cNvPr>
        <xdr:cNvSpPr txBox="1"/>
      </xdr:nvSpPr>
      <xdr:spPr>
        <a:xfrm>
          <a:off x="10502363" y="3888974"/>
          <a:ext cx="1076345" cy="736346"/>
        </a:xfrm>
        <a:prstGeom prst="rect">
          <a:avLst/>
        </a:prstGeom>
        <a:noFill/>
        <a:ln>
          <a:noFill/>
        </a:ln>
      </xdr:spPr>
      <xdr:txBody>
        <a:bodyPr wrap="square" bIns="36000" rtlCol="0" lIns="36000" rIns="36000" tIns="36000">
          <a:spAutoFit/>
        </a:bodyPr>
        <a:lstStyle xmlns:a="http://schemas.openxmlformats.org/drawingml/2006/main">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b="1" i="0" sz="1100">
              <a:solidFill>
                <a:srgbClr val="000000"/>
              </a:solidFill>
              <a:latin typeface="Arial"/>
            </a:rPr>
            <a:t>Stage 3</a:t>
          </a:r>
          <a:endParaRPr lang="en-GB" b="1" i="0" sz="1100">
            <a:solidFill>
              <a:srgbClr val="000000"/>
            </a:solidFill>
            <a:latin typeface="Arial"/>
          </a:endParaRPr>
        </a:p>
        <a:p>
          <a:r>
            <a:rPr lang="en-GB" b="0" i="0" sz="1100">
              <a:solidFill>
                <a:srgbClr val="000000"/>
              </a:solidFill>
              <a:latin typeface="Arial"/>
            </a:rPr>
            <a:t>Nutrient loading from future land use</a:t>
          </a:r>
          <a:endParaRPr lang="en-GB" b="0" i="0" sz="1100">
            <a:solidFill>
              <a:srgbClr val="000000"/>
            </a:solidFill>
            <a:latin typeface="Arial"/>
          </a:endParaRPr>
        </a:p>
      </xdr:txBody>
    </xdr:sp>
    <xdr:clientData/>
  </xdr:twoCellAnchor>
  <xdr:twoCellAnchor editAs="twoCell">
    <xdr:from>
      <xdr:col>14</xdr:col>
      <xdr:colOff>257770</xdr:colOff>
      <xdr:row>18</xdr:row>
      <xdr:rowOff>98107</xdr:rowOff>
    </xdr:from>
    <xdr:to>
      <xdr:col>16</xdr:col>
      <xdr:colOff>114895</xdr:colOff>
      <xdr:row>21</xdr:row>
      <xdr:rowOff>13335</xdr:rowOff>
    </xdr:to>
    <xdr:sp macro="">
      <xdr:nvSpPr>
        <xdr:cNvPr id="9" name="TextBox 16">
          <a:extLst xmlns:a="http://schemas.openxmlformats.org/drawingml/2006/main">
            <a:ext uri="{FF2B5EF4-FFF2-40B4-BE49-F238E27FC236}">
              <a16:creationId xmlns:a16="http://schemas.microsoft.com/office/drawing/2014/main" id="{FB53914C-1439-4AB8-92D7-6CA707289620}"/>
            </a:ext>
          </a:extLst>
        </xdr:cNvPr>
        <xdr:cNvSpPr txBox="1"/>
      </xdr:nvSpPr>
      <xdr:spPr>
        <a:xfrm>
          <a:off x="11706938" y="3908024"/>
          <a:ext cx="1076345" cy="572776"/>
        </a:xfrm>
        <a:prstGeom prst="rect">
          <a:avLst/>
        </a:prstGeom>
        <a:noFill/>
        <a:ln>
          <a:noFill/>
        </a:ln>
      </xdr:spPr>
      <xdr:txBody>
        <a:bodyPr wrap="square" bIns="36000" rtlCol="0" lIns="36000" rIns="36000" tIns="36000">
          <a:spAutoFit/>
        </a:bodyPr>
        <a:lstStyle xmlns:a="http://schemas.openxmlformats.org/drawingml/2006/main">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b="1" i="0" sz="1100">
              <a:solidFill>
                <a:srgbClr val="000000"/>
              </a:solidFill>
              <a:latin typeface="Arial"/>
            </a:rPr>
            <a:t>Stage 4</a:t>
          </a:r>
          <a:endParaRPr lang="en-GB" b="1" i="0" sz="1100">
            <a:solidFill>
              <a:srgbClr val="000000"/>
            </a:solidFill>
            <a:latin typeface="Arial"/>
          </a:endParaRPr>
        </a:p>
        <a:p>
          <a:r>
            <a:rPr lang="en-GB" b="0" i="0" sz="1100">
              <a:solidFill>
                <a:srgbClr val="000000"/>
              </a:solidFill>
              <a:latin typeface="Arial"/>
            </a:rPr>
            <a:t>Nutrient budget calculation</a:t>
          </a:r>
          <a:endParaRPr lang="en-GB" b="0" i="0" sz="1100">
            <a:solidFill>
              <a:srgbClr val="000000"/>
            </a:solidFill>
            <a:latin typeface="Arial"/>
          </a:endParaRPr>
        </a:p>
      </xdr:txBody>
    </xdr:sp>
    <xdr:clientData/>
  </xdr:twoCellAnchor>
  <xdr:twoCellAnchor editAs="oneCell">
    <xdr:from>
      <xdr:col>8</xdr:col>
      <xdr:colOff>76200</xdr:colOff>
      <xdr:row>13</xdr:row>
      <xdr:rowOff>76200</xdr:rowOff>
    </xdr:from>
    <xdr:to>
      <xdr:col>10</xdr:col>
      <xdr:colOff>276225</xdr:colOff>
      <xdr:row>18</xdr:row>
      <xdr:rowOff>83820</xdr:rowOff>
    </xdr:to>
    <xdr:pic macro="">
      <xdr:nvPicPr>
        <xdr:cNvPr id="10" name="Picture 9">
          <a:hlinkClick xmlns:d6p1="http://schemas.openxmlformats.org/officeDocument/2006/relationships" d6p1:id="rId2"/>
          <a:extLst xmlns:a="http://schemas.openxmlformats.org/drawingml/2006/main">
            <a:ext uri="{FF2B5EF4-FFF2-40B4-BE49-F238E27FC236}">
              <a16:creationId xmlns:a16="http://schemas.microsoft.com/office/drawing/2014/main" id="{CF9F181F-F076-4A15-9A81-9FFA380081FA}"/>
            </a:ext>
          </a:extLst>
        </xdr:cNvPr>
        <xdr:cNvPicPr>
          <a:picLocks noChangeAspect="1"/>
        </xdr:cNvPicPr>
      </xdr:nvPicPr>
      <xdr:blipFill>
        <a:blip xmlns:d5p1="http://schemas.openxmlformats.org/officeDocument/2006/relationships" d5p1:embed="rId1">
          <a:extLst>
            <a:ext uri="{28A0092B-C50C-407E-A947-70E740481C1C}">
              <a14:useLocalDpi xmlns:a14="http://schemas.microsoft.com/office/drawing/2010/main" val="0"/>
            </a:ext>
          </a:extLst>
        </a:blip>
        <a:srcRect/>
        <a:stretch>
          <a:fillRect/>
        </a:stretch>
      </xdr:blipFill>
      <xdr:spPr>
        <a:xfrm>
          <a:off x="8001000" y="2876551"/>
          <a:ext cx="1285876" cy="1285876"/>
        </a:xfrm>
        <a:prstGeom xmlns:a="http://schemas.openxmlformats.org/drawingml/2006/main" prst="rect">
          <a:avLst/>
        </a:prstGeom>
        <a:noFill/>
      </xdr:spPr>
    </xdr:pic>
    <xdr:clientData/>
  </xdr:twoCellAnchor>
  <xdr:twoCellAnchor editAs="oneCell">
    <xdr:from>
      <xdr:col>12</xdr:col>
      <xdr:colOff>169069</xdr:colOff>
      <xdr:row>13</xdr:row>
      <xdr:rowOff>73342</xdr:rowOff>
    </xdr:from>
    <xdr:to>
      <xdr:col>14</xdr:col>
      <xdr:colOff>242888</xdr:colOff>
      <xdr:row>18</xdr:row>
      <xdr:rowOff>88582</xdr:rowOff>
    </xdr:to>
    <xdr:pic macro="">
      <xdr:nvPicPr>
        <xdr:cNvPr id="11" name="Picture 10">
          <a:hlinkClick xmlns:d6p1="http://schemas.openxmlformats.org/officeDocument/2006/relationships" d6p1:id="rId4"/>
          <a:extLst xmlns:a="http://schemas.openxmlformats.org/drawingml/2006/main">
            <a:ext uri="{FF2B5EF4-FFF2-40B4-BE49-F238E27FC236}">
              <a16:creationId xmlns:a16="http://schemas.microsoft.com/office/drawing/2014/main" id="{E398EA38-93DD-45FF-9C31-D9A63D846412}"/>
            </a:ext>
          </a:extLst>
        </xdr:cNvPr>
        <xdr:cNvPicPr>
          <a:picLocks noChangeAspect="1"/>
        </xdr:cNvPicPr>
      </xdr:nvPicPr>
      <xdr:blipFill>
        <a:blip xmlns:d5p1="http://schemas.openxmlformats.org/officeDocument/2006/relationships" d5p1:embed="rId3">
          <a:extLst>
            <a:ext uri="{28A0092B-C50C-407E-A947-70E740481C1C}">
              <a14:useLocalDpi xmlns:a14="http://schemas.microsoft.com/office/drawing/2010/main" val="0"/>
            </a:ext>
          </a:extLst>
        </a:blip>
        <a:srcRect/>
        <a:stretch>
          <a:fillRect/>
        </a:stretch>
      </xdr:blipFill>
      <xdr:spPr>
        <a:xfrm>
          <a:off x="10399193" y="2874151"/>
          <a:ext cx="1292520" cy="1292520"/>
        </a:xfrm>
        <a:prstGeom xmlns:a="http://schemas.openxmlformats.org/drawingml/2006/main" prst="rect">
          <a:avLst/>
        </a:prstGeom>
        <a:noFill/>
      </xdr:spPr>
    </xdr:pic>
    <xdr:clientData/>
  </xdr:twoCellAnchor>
  <xdr:twoCellAnchor editAs="oneCell">
    <xdr:from>
      <xdr:col>10</xdr:col>
      <xdr:colOff>186928</xdr:colOff>
      <xdr:row>12</xdr:row>
      <xdr:rowOff>95250</xdr:rowOff>
    </xdr:from>
    <xdr:to>
      <xdr:col>12</xdr:col>
      <xdr:colOff>259556</xdr:colOff>
      <xdr:row>17</xdr:row>
      <xdr:rowOff>161925</xdr:rowOff>
    </xdr:to>
    <xdr:pic macro="">
      <xdr:nvPicPr>
        <xdr:cNvPr id="12" name="Picture 11">
          <a:hlinkClick xmlns:d6p1="http://schemas.openxmlformats.org/officeDocument/2006/relationships" d6p1:id="rId6"/>
          <a:extLst xmlns:a="http://schemas.openxmlformats.org/drawingml/2006/main">
            <a:ext uri="{FF2B5EF4-FFF2-40B4-BE49-F238E27FC236}">
              <a16:creationId xmlns:a16="http://schemas.microsoft.com/office/drawing/2014/main" id="{4A9C62A6-3D7B-4731-AAFB-011BA62AB707}"/>
            </a:ext>
          </a:extLst>
        </xdr:cNvPr>
        <xdr:cNvPicPr>
          <a:picLocks noChangeAspect="1"/>
        </xdr:cNvPicPr>
      </xdr:nvPicPr>
      <xdr:blipFill>
        <a:blip xmlns:d5p1="http://schemas.openxmlformats.org/officeDocument/2006/relationships" d5p1:embed="rId5">
          <a:extLst>
            <a:ext uri="{28A0092B-C50C-407E-A947-70E740481C1C}">
              <a14:useLocalDpi xmlns:a14="http://schemas.microsoft.com/office/drawing/2010/main" val="0"/>
            </a:ext>
          </a:extLst>
        </a:blip>
        <a:srcRect/>
        <a:stretch>
          <a:fillRect/>
        </a:stretch>
      </xdr:blipFill>
      <xdr:spPr>
        <a:xfrm>
          <a:off x="9197578" y="2752725"/>
          <a:ext cx="1291585" cy="1291585"/>
        </a:xfrm>
        <a:prstGeom xmlns:a="http://schemas.openxmlformats.org/drawingml/2006/main" prst="rect">
          <a:avLst/>
        </a:prstGeom>
        <a:noFill/>
      </xdr:spPr>
    </xdr:pic>
    <xdr:clientData/>
  </xdr:twoCellAnchor>
  <xdr:twoCellAnchor editAs="oneCell">
    <xdr:from>
      <xdr:col>14</xdr:col>
      <xdr:colOff>152995</xdr:colOff>
      <xdr:row>12</xdr:row>
      <xdr:rowOff>95250</xdr:rowOff>
    </xdr:from>
    <xdr:to>
      <xdr:col>16</xdr:col>
      <xdr:colOff>228600</xdr:colOff>
      <xdr:row>17</xdr:row>
      <xdr:rowOff>165735</xdr:rowOff>
    </xdr:to>
    <xdr:pic macro="">
      <xdr:nvPicPr>
        <xdr:cNvPr id="13" name="Picture 12">
          <a:hlinkClick xmlns:d6p1="http://schemas.openxmlformats.org/officeDocument/2006/relationships" d6p1:id="rId8"/>
          <a:extLst xmlns:a="http://schemas.openxmlformats.org/drawingml/2006/main">
            <a:ext uri="{FF2B5EF4-FFF2-40B4-BE49-F238E27FC236}">
              <a16:creationId xmlns:a16="http://schemas.microsoft.com/office/drawing/2014/main" id="{4D499E9D-14E9-4A44-9642-E04BC704D611}"/>
            </a:ext>
          </a:extLst>
        </xdr:cNvPr>
        <xdr:cNvPicPr>
          <a:picLocks noChangeAspect="1"/>
        </xdr:cNvPicPr>
      </xdr:nvPicPr>
      <xdr:blipFill>
        <a:blip xmlns:d5p1="http://schemas.openxmlformats.org/officeDocument/2006/relationships" d5p1:embed="rId7">
          <a:extLst>
            <a:ext uri="{28A0092B-C50C-407E-A947-70E740481C1C}">
              <a14:useLocalDpi xmlns:a14="http://schemas.microsoft.com/office/drawing/2010/main" val="0"/>
            </a:ext>
          </a:extLst>
        </a:blip>
        <a:srcRect/>
        <a:stretch>
          <a:fillRect/>
        </a:stretch>
      </xdr:blipFill>
      <xdr:spPr>
        <a:xfrm>
          <a:off x="11601868" y="2752725"/>
          <a:ext cx="1294720" cy="1294720"/>
        </a:xfrm>
        <a:prstGeom xmlns:a="http://schemas.openxmlformats.org/drawingml/2006/main" prst="rect">
          <a:avLst/>
        </a:prstGeom>
        <a:noFill/>
      </xdr:spPr>
    </xdr:pic>
    <xdr:clientData/>
  </xdr:twoCellAnchor>
</xdr:wsDr>
</file>

<file path=xl/externalLinks/_rels/externalLink1.xml.rels><?xml version="1.0" encoding="utf-8" standalone="yes"?><Relationships xmlns="http://schemas.openxmlformats.org/package/2006/relationships"><Relationship Id="rId1" Type="http://schemas.openxmlformats.org/officeDocument/2006/relationships/externalLinkPath" Target="file:///C:\Users\DS56\OneDrive%20-%20Ricardo%20Plc\NE%20NN\Copy%20of%20Herefordshire%20Council%20Phosphate%20Budget%20Calculator_Final.xlsx" TargetMode="External" /></Relationships>
</file>

<file path=xl/externalLinks/externalLink1.xml><?xml version="1.0" encoding="utf-8"?>
<externalLink xmlns="http://schemas.openxmlformats.org/spreadsheetml/2006/main">
  <externalBook xmlns:d2p1="http://schemas.openxmlformats.org/officeDocument/2006/relationships" d2p1:id="rId1">
    <sheetNames>
      <sheetName val="Introduction"/>
      <sheetName val="Stage 1"/>
      <sheetName val="Stage 2"/>
      <sheetName val="Stage 3"/>
      <sheetName val="Stage 4"/>
      <sheetName val="WwTW look up"/>
      <sheetName val="Stage 2 and 3 lookups"/>
      <sheetName val="WwTW Catchments"/>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xl/drawings/drawing1.xml" /></Relationships>
</file>

<file path=xl/worksheets/_rels/sheet2.xml.rels><?xml version="1.0" encoding="utf-8" standalone="yes"?><Relationships xmlns="http://schemas.openxmlformats.org/package/2006/relationships"><Relationship Id="rId2" Type="http://schemas.openxmlformats.org/officeDocument/2006/relationships/drawing" Target="/xl/drawings/drawing2.xml" /><Relationship Id="rId1" Type="http://schemas.openxmlformats.org/officeDocument/2006/relationships/printerSettings" Target="../printerSettings/printerSettings1.bin" /></Relationships>
</file>

<file path=xl/worksheets/_rels/sheet3.xml.rels><?xml version="1.0" encoding="utf-8" standalone="yes"?><Relationships xmlns="http://schemas.openxmlformats.org/package/2006/relationships"><Relationship Id="rId2" Type="http://schemas.openxmlformats.org/officeDocument/2006/relationships/drawing" Target="/xl/drawings/drawing3.xml" /><Relationship Id="rId1" Type="http://schemas.openxmlformats.org/officeDocument/2006/relationships/printerSettings" Target="../printerSettings/printerSettings2.bin" /></Relationships>
</file>

<file path=xl/worksheets/_rels/sheet4.xml.rels><?xml version="1.0" encoding="utf-8" standalone="yes"?><Relationships xmlns="http://schemas.openxmlformats.org/package/2006/relationships"><Relationship Id="rId2" Type="http://schemas.openxmlformats.org/officeDocument/2006/relationships/hyperlink" Target="http://www.landis.org.uk/soilscapes/" TargetMode="External" /><Relationship Id="rId3" Type="http://schemas.openxmlformats.org/officeDocument/2006/relationships/hyperlink" Target="http://mapapps2.bgs.ac.uk/ukso/home.html?layers=NVZEng" TargetMode="External" /><Relationship Id="rId4" Type="http://schemas.openxmlformats.org/officeDocument/2006/relationships/hyperlink" Target="https://nrfa.ceh.ac.uk/data/station/spatial/34002" TargetMode="External" /><Relationship Id="rId6" Type="http://schemas.openxmlformats.org/officeDocument/2006/relationships/drawing" Target="/xl/drawings/drawing4.xml" /><Relationship Id="rId5" Type="http://schemas.openxmlformats.org/officeDocument/2006/relationships/printerSettings" Target="../printerSettings/printerSettings3.bin" /><Relationship Id="rId1" Type="http://schemas.openxmlformats.org/officeDocument/2006/relationships/hyperlink" Target="http://environment.data.gov.uk/catchment-planning/" TargetMode="External" /></Relationships>
</file>

<file path=xl/worksheets/_rels/sheet5.xml.rels><?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_rels/sheet6.xml.rels><?xml version="1.0" encoding="utf-8" standalone="yes"?><Relationships xmlns="http://schemas.openxmlformats.org/package/2006/relationships"><Relationship Id="rId1" Type="http://schemas.openxmlformats.org/officeDocument/2006/relationships/printerSettings" Target="../printerSettings/printerSettings5.bin" /></Relationships>
</file>

<file path=xl/worksheets/_rels/sheet7.xml.rels><?xml version="1.0" encoding="utf-8" standalone="yes"?><Relationships xmlns="http://schemas.openxmlformats.org/package/2006/relationships"><Relationship Id="rId1" Type="http://schemas.openxmlformats.org/officeDocument/2006/relationships/printerSettings" Target="../printerSettings/printerSettings6.bin" /></Relationships>
</file>

<file path=xl/worksheets/_rels/sheet8.xml.rels><?xml version="1.0" encoding="utf-8" standalone="yes"?><Relationships xmlns="http://schemas.openxmlformats.org/package/2006/relationships"><Relationship Id="rId1" Type="http://schemas.openxmlformats.org/officeDocument/2006/relationships/printerSettings" Target="../printerSettings/printerSettings7.bin" /></Relationships>
</file>

<file path=xl/worksheets/_rels/sheet9.xml.rels><?xml version="1.0" encoding="utf-8" standalone="yes"?><Relationships xmlns="http://schemas.openxmlformats.org/package/2006/relationships"><Relationship Id="rId1" Type="http://schemas.openxmlformats.org/officeDocument/2006/relationships/printerSettings" Target="../printerSettings/printerSettings8.bin" /></Relationships>
</file>

<file path=xl/worksheets/_rels/sheet10.xml.rels><?xml version="1.0" encoding="utf-8" standalone="yes"?><Relationships xmlns="http://schemas.openxmlformats.org/package/2006/relationships"><Relationship Id="rId1" Type="http://schemas.openxmlformats.org/officeDocument/2006/relationships/drawing" Target="/xl/drawings/drawing5.xml" /></Relationships>
</file>

<file path=xl/worksheets/_rels/sheet11.xml.rels><?xml version="1.0" encoding="utf-8" standalone="yes"?><Relationships xmlns="http://schemas.openxmlformats.org/package/2006/relationships"><Relationship Id="rId1" Type="http://schemas.openxmlformats.org/officeDocument/2006/relationships/printerSettings" Target="../printerSettings/printerSettings9.bin" /></Relationships>
</file>

<file path=xl/worksheets/sheet1.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5:Y12"/>
  <sheetViews>
    <sheetView showGridLines="0" showRowColHeaders="0" view="normal" tabSelected="1" workbookViewId="0">
      <selection pane="topLeft" activeCell="A1" sqref="A1"/>
    </sheetView>
  </sheetViews>
  <sheetFormatPr defaultColWidth="5.7109375" customHeight="true" defaultRowHeight="28.5"/>
  <cols>
    <col min="1" max="12" width="5.7109375" style="2" customWidth="1"/>
    <col min="13" max="13" width="44" style="2" customWidth="1"/>
    <col min="14" max="14" width="5.7109375" style="2" customWidth="1"/>
    <col min="15" max="15" width="4.5703125" style="2" customWidth="1"/>
    <col min="16" max="16384" width="5.7109375" style="2" customWidth="1"/>
  </cols>
  <sheetData>
    <row r="5" spans="25:25" customHeight="1">
      <c r="Y5"/>
    </row>
    <row r="11" ht="18" customHeight="1"/>
    <row r="12" spans="13:13" ht="45">
      <c r="M12" s="207" t="s">
        <v>314</v>
      </c>
    </row>
  </sheetData>
  <sheetProtection algorithmName="SHA-512" hashValue="lj3IYhJ4odM6xbZM2VHF27k4v4IHTPlSNQqEpfdNQH5E+T4xz5uX52jMJyX7PHxIwb4FEtok7ta6pBHNuptUgw==" saltValue="+VULyKrJ5ac/uyyN2/HkEg==" spinCount="100000" sheet="1" objects="1" scenarios="1" selectLockedCells="1" selectUnlockedCells="1"/>
  <pageMargins left="0.7" right="0.7" top="0.75" bottom="0.75" header="0.3" footer="0.3"/>
  <headerFooter scaleWithDoc="1" alignWithMargins="0" differentFirst="0" differentOddEven="0"/>
  <drawing r:id="rId1"/>
  <extLst/>
</worksheet>
</file>

<file path=xl/worksheets/sheet2.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2:N121"/>
  <sheetViews>
    <sheetView topLeftCell="A16" showRowColHeaders="0" view="normal" workbookViewId="0">
      <selection pane="topLeft" activeCell="B36" sqref="B36:M36"/>
    </sheetView>
  </sheetViews>
  <sheetFormatPr defaultColWidth="9.140625" defaultRowHeight="15"/>
  <cols>
    <col min="1" max="13" width="9.140625" style="140" customWidth="1"/>
    <col min="14" max="14" width="1.7109375" style="140" customWidth="1"/>
    <col min="15" max="16384" width="9.140625" style="140" customWidth="1"/>
  </cols>
  <sheetData>
    <row r="2" ht="15.75" thickBot="1"/>
    <row r="3" spans="2:14" ht="15.75" customHeight="1" thickTop="1">
      <c r="B3" s="229" t="s">
        <v>193</v>
      </c>
      <c r="C3" s="230"/>
      <c r="D3" s="230"/>
      <c r="E3" s="230"/>
      <c r="F3" s="230"/>
      <c r="G3" s="230"/>
      <c r="H3" s="230"/>
      <c r="I3" s="230"/>
      <c r="J3" s="230"/>
      <c r="K3" s="230"/>
      <c r="L3" s="230"/>
      <c r="M3" s="230"/>
      <c r="N3" s="231"/>
    </row>
    <row r="4" spans="2:14" customHeight="1">
      <c r="B4" s="232"/>
      <c r="C4" s="233"/>
      <c r="D4" s="233"/>
      <c r="E4" s="233"/>
      <c r="F4" s="233"/>
      <c r="G4" s="233"/>
      <c r="H4" s="233"/>
      <c r="I4" s="233"/>
      <c r="J4" s="233"/>
      <c r="K4" s="233"/>
      <c r="L4" s="233"/>
      <c r="M4" s="233"/>
      <c r="N4" s="234"/>
    </row>
    <row r="5" spans="2:14" customHeight="1">
      <c r="B5" s="232"/>
      <c r="C5" s="233"/>
      <c r="D5" s="233"/>
      <c r="E5" s="233"/>
      <c r="F5" s="233"/>
      <c r="G5" s="233"/>
      <c r="H5" s="233"/>
      <c r="I5" s="233"/>
      <c r="J5" s="233"/>
      <c r="K5" s="233"/>
      <c r="L5" s="233"/>
      <c r="M5" s="233"/>
      <c r="N5" s="234"/>
    </row>
    <row r="6" spans="2:14" ht="8.25" customHeight="1">
      <c r="B6" s="135"/>
      <c r="C6" s="1"/>
      <c r="D6" s="1"/>
      <c r="E6" s="1"/>
      <c r="F6" s="1"/>
      <c r="G6" s="1"/>
      <c r="H6" s="1"/>
      <c r="I6" s="1"/>
      <c r="J6" s="1"/>
      <c r="K6" s="1"/>
      <c r="L6" s="1"/>
      <c r="M6" s="1"/>
      <c r="N6" s="125"/>
    </row>
    <row r="7" spans="2:14" ht="56.25" customHeight="1">
      <c r="B7" s="235" t="s">
        <v>324</v>
      </c>
      <c r="C7" s="236"/>
      <c r="D7" s="236"/>
      <c r="E7" s="236"/>
      <c r="F7" s="236"/>
      <c r="G7" s="236"/>
      <c r="H7" s="236"/>
      <c r="I7" s="236"/>
      <c r="J7" s="236"/>
      <c r="K7" s="236"/>
      <c r="L7" s="236"/>
      <c r="M7" s="236"/>
      <c r="N7" s="125"/>
    </row>
    <row r="8" spans="2:14" ht="59.25" customHeight="1">
      <c r="B8" s="237" t="s">
        <v>325</v>
      </c>
      <c r="C8" s="238"/>
      <c r="D8" s="238"/>
      <c r="E8" s="238"/>
      <c r="F8" s="238"/>
      <c r="G8" s="238"/>
      <c r="H8" s="238"/>
      <c r="I8" s="238"/>
      <c r="J8" s="238"/>
      <c r="K8" s="238"/>
      <c r="L8" s="238"/>
      <c r="M8" s="238"/>
      <c r="N8" s="125"/>
    </row>
    <row r="9" spans="2:14">
      <c r="B9" s="136"/>
      <c r="C9" s="23"/>
      <c r="D9" s="23"/>
      <c r="E9" s="23"/>
      <c r="F9" s="23"/>
      <c r="G9" s="23"/>
      <c r="H9" s="23"/>
      <c r="I9" s="23"/>
      <c r="J9" s="23"/>
      <c r="K9" s="23"/>
      <c r="L9" s="23"/>
      <c r="M9" s="23"/>
      <c r="N9" s="125"/>
    </row>
    <row r="10" spans="2:14">
      <c r="B10" s="136"/>
      <c r="C10" s="23"/>
      <c r="D10" s="23"/>
      <c r="E10" s="23"/>
      <c r="F10" s="23"/>
      <c r="G10" s="23"/>
      <c r="H10" s="23"/>
      <c r="I10" s="23"/>
      <c r="J10" s="23"/>
      <c r="K10" s="23"/>
      <c r="L10" s="23"/>
      <c r="M10" s="23"/>
      <c r="N10" s="125"/>
    </row>
    <row r="11" spans="2:14">
      <c r="B11" s="136"/>
      <c r="C11" s="23"/>
      <c r="D11" s="23"/>
      <c r="E11" s="23"/>
      <c r="F11" s="23"/>
      <c r="G11" s="23"/>
      <c r="H11" s="23"/>
      <c r="I11" s="23"/>
      <c r="J11" s="23"/>
      <c r="K11" s="23"/>
      <c r="L11" s="23"/>
      <c r="M11" s="23"/>
      <c r="N11" s="125"/>
    </row>
    <row r="12" spans="2:14">
      <c r="B12" s="136"/>
      <c r="C12" s="23"/>
      <c r="D12" s="23"/>
      <c r="E12" s="23"/>
      <c r="F12" s="23"/>
      <c r="G12" s="23"/>
      <c r="H12" s="23"/>
      <c r="I12" s="23"/>
      <c r="J12" s="23"/>
      <c r="K12" s="23"/>
      <c r="L12" s="23"/>
      <c r="M12" s="23"/>
      <c r="N12" s="125"/>
    </row>
    <row r="13" spans="2:14">
      <c r="B13" s="136"/>
      <c r="C13" s="23"/>
      <c r="D13" s="23"/>
      <c r="E13" s="23"/>
      <c r="F13" s="23"/>
      <c r="G13" s="23"/>
      <c r="H13" s="23"/>
      <c r="I13" s="23"/>
      <c r="J13" s="23"/>
      <c r="K13" s="23"/>
      <c r="L13" s="23"/>
      <c r="M13" s="23"/>
      <c r="N13" s="125"/>
    </row>
    <row r="14" spans="2:14">
      <c r="B14" s="136"/>
      <c r="C14" s="23"/>
      <c r="D14" s="23"/>
      <c r="E14" s="23"/>
      <c r="F14" s="23"/>
      <c r="G14" s="23"/>
      <c r="H14" s="23"/>
      <c r="I14" s="23"/>
      <c r="J14" s="23"/>
      <c r="K14" s="23"/>
      <c r="L14" s="23"/>
      <c r="M14" s="23"/>
      <c r="N14" s="125"/>
    </row>
    <row r="15" spans="2:14">
      <c r="B15" s="136"/>
      <c r="C15" s="23"/>
      <c r="D15" s="23"/>
      <c r="E15" s="23"/>
      <c r="F15" s="23"/>
      <c r="G15" s="23"/>
      <c r="H15" s="23"/>
      <c r="I15" s="23"/>
      <c r="J15" s="23"/>
      <c r="K15" s="23"/>
      <c r="L15" s="23"/>
      <c r="M15" s="23"/>
      <c r="N15" s="125"/>
    </row>
    <row r="16" spans="2:14">
      <c r="B16" s="136"/>
      <c r="C16" s="23"/>
      <c r="D16" s="23"/>
      <c r="E16" s="23"/>
      <c r="F16" s="23"/>
      <c r="G16" s="23"/>
      <c r="H16" s="23"/>
      <c r="I16" s="23"/>
      <c r="J16" s="23"/>
      <c r="K16" s="23"/>
      <c r="L16" s="23"/>
      <c r="M16" s="23"/>
      <c r="N16" s="125"/>
    </row>
    <row r="17" spans="2:14">
      <c r="B17" s="136"/>
      <c r="C17" s="23"/>
      <c r="D17" s="23"/>
      <c r="E17" s="23"/>
      <c r="F17" s="23"/>
      <c r="G17" s="23"/>
      <c r="H17" s="23"/>
      <c r="I17" s="23"/>
      <c r="J17" s="23"/>
      <c r="K17" s="23"/>
      <c r="L17" s="23"/>
      <c r="M17" s="23"/>
      <c r="N17" s="125"/>
    </row>
    <row r="18" spans="2:14">
      <c r="B18" s="136"/>
      <c r="C18" s="23"/>
      <c r="D18" s="23"/>
      <c r="E18" s="23"/>
      <c r="F18" s="23"/>
      <c r="G18" s="23"/>
      <c r="H18" s="23"/>
      <c r="I18" s="23"/>
      <c r="J18" s="23"/>
      <c r="K18" s="23"/>
      <c r="L18" s="23"/>
      <c r="M18" s="23"/>
      <c r="N18" s="125"/>
    </row>
    <row r="19" spans="2:14">
      <c r="B19" s="136"/>
      <c r="C19" s="23"/>
      <c r="D19" s="23"/>
      <c r="E19" s="23"/>
      <c r="F19" s="23"/>
      <c r="G19" s="23"/>
      <c r="H19" s="23"/>
      <c r="I19" s="23"/>
      <c r="J19" s="23"/>
      <c r="K19" s="23"/>
      <c r="L19" s="23"/>
      <c r="M19" s="23"/>
      <c r="N19" s="125"/>
    </row>
    <row r="20" spans="2:14">
      <c r="B20" s="136"/>
      <c r="C20" s="23"/>
      <c r="D20" s="23"/>
      <c r="E20" s="23"/>
      <c r="F20" s="23"/>
      <c r="G20" s="23"/>
      <c r="H20" s="23"/>
      <c r="I20" s="23"/>
      <c r="J20" s="23"/>
      <c r="K20" s="23"/>
      <c r="L20" s="23"/>
      <c r="M20" s="23"/>
      <c r="N20" s="125"/>
    </row>
    <row r="21" spans="2:14">
      <c r="B21" s="136"/>
      <c r="C21" s="23"/>
      <c r="D21" s="23"/>
      <c r="E21" s="23"/>
      <c r="F21" s="23"/>
      <c r="G21" s="23"/>
      <c r="H21" s="23"/>
      <c r="I21" s="23"/>
      <c r="J21" s="23"/>
      <c r="K21" s="23"/>
      <c r="L21" s="23"/>
      <c r="M21" s="23"/>
      <c r="N21" s="125"/>
    </row>
    <row r="22" spans="2:14">
      <c r="B22" s="136"/>
      <c r="C22" s="23"/>
      <c r="D22" s="23"/>
      <c r="E22" s="23"/>
      <c r="F22" s="23"/>
      <c r="G22" s="23"/>
      <c r="H22" s="23"/>
      <c r="I22" s="23"/>
      <c r="J22" s="23"/>
      <c r="K22" s="23"/>
      <c r="L22" s="23"/>
      <c r="M22" s="23"/>
      <c r="N22" s="125"/>
    </row>
    <row r="23" spans="2:14">
      <c r="B23" s="136"/>
      <c r="C23" s="23"/>
      <c r="D23" s="23"/>
      <c r="E23" s="23"/>
      <c r="F23" s="23"/>
      <c r="G23" s="23"/>
      <c r="H23" s="23"/>
      <c r="I23" s="23"/>
      <c r="J23" s="23"/>
      <c r="K23" s="23"/>
      <c r="L23" s="23"/>
      <c r="M23" s="23"/>
      <c r="N23" s="125"/>
    </row>
    <row r="24" spans="2:14">
      <c r="B24" s="136"/>
      <c r="C24" s="23"/>
      <c r="D24" s="23"/>
      <c r="E24" s="23"/>
      <c r="F24" s="23"/>
      <c r="G24" s="23"/>
      <c r="H24" s="23"/>
      <c r="I24" s="23"/>
      <c r="J24" s="23"/>
      <c r="K24" s="23"/>
      <c r="L24" s="23"/>
      <c r="M24" s="23"/>
      <c r="N24" s="125"/>
    </row>
    <row r="25" spans="2:14">
      <c r="B25" s="136"/>
      <c r="C25" s="23"/>
      <c r="D25" s="23"/>
      <c r="E25" s="23"/>
      <c r="F25" s="23"/>
      <c r="G25" s="23"/>
      <c r="H25" s="23"/>
      <c r="I25" s="23"/>
      <c r="J25" s="23"/>
      <c r="K25" s="23"/>
      <c r="L25" s="23"/>
      <c r="M25" s="23"/>
      <c r="N25" s="125"/>
    </row>
    <row r="26" spans="2:14">
      <c r="B26" s="136"/>
      <c r="C26" s="23"/>
      <c r="D26" s="23"/>
      <c r="E26" s="23"/>
      <c r="F26" s="23"/>
      <c r="G26" s="23"/>
      <c r="H26" s="23"/>
      <c r="I26" s="23"/>
      <c r="J26" s="23"/>
      <c r="K26" s="23"/>
      <c r="L26" s="23"/>
      <c r="M26" s="23"/>
      <c r="N26" s="125"/>
    </row>
    <row r="27" spans="2:14">
      <c r="B27" s="136"/>
      <c r="C27" s="23"/>
      <c r="D27" s="23"/>
      <c r="E27" s="23"/>
      <c r="F27" s="23"/>
      <c r="G27" s="23"/>
      <c r="H27" s="23"/>
      <c r="I27" s="23"/>
      <c r="J27" s="23"/>
      <c r="K27" s="23"/>
      <c r="L27" s="23"/>
      <c r="M27" s="23"/>
      <c r="N27" s="125"/>
    </row>
    <row r="28" spans="2:14">
      <c r="B28" s="136"/>
      <c r="C28" s="23"/>
      <c r="D28" s="23"/>
      <c r="E28" s="23"/>
      <c r="F28" s="23"/>
      <c r="G28" s="23"/>
      <c r="H28" s="23"/>
      <c r="I28" s="23"/>
      <c r="J28" s="23"/>
      <c r="K28" s="23"/>
      <c r="L28" s="23"/>
      <c r="M28" s="23"/>
      <c r="N28" s="125"/>
    </row>
    <row r="29" spans="2:14">
      <c r="B29" s="136"/>
      <c r="C29" s="23"/>
      <c r="D29" s="23"/>
      <c r="E29" s="23"/>
      <c r="F29" s="23"/>
      <c r="G29" s="23"/>
      <c r="H29" s="23"/>
      <c r="I29" s="23"/>
      <c r="J29" s="23"/>
      <c r="K29" s="23"/>
      <c r="L29" s="23"/>
      <c r="M29" s="23"/>
      <c r="N29" s="125"/>
    </row>
    <row r="30" spans="2:14">
      <c r="B30" s="136"/>
      <c r="C30" s="23"/>
      <c r="D30" s="23"/>
      <c r="E30" s="23"/>
      <c r="F30" s="23"/>
      <c r="G30" s="23"/>
      <c r="H30" s="23"/>
      <c r="I30" s="23"/>
      <c r="J30" s="23"/>
      <c r="K30" s="23"/>
      <c r="L30" s="23"/>
      <c r="M30" s="23"/>
      <c r="N30" s="125"/>
    </row>
    <row r="31" spans="2:14">
      <c r="B31" s="136"/>
      <c r="C31" s="23"/>
      <c r="D31" s="23"/>
      <c r="E31" s="23"/>
      <c r="F31" s="23"/>
      <c r="G31" s="23"/>
      <c r="H31" s="23"/>
      <c r="I31" s="23"/>
      <c r="J31" s="23"/>
      <c r="K31" s="23"/>
      <c r="L31" s="23"/>
      <c r="M31" s="23"/>
      <c r="N31" s="125"/>
    </row>
    <row r="32" spans="2:14">
      <c r="B32" s="136"/>
      <c r="C32" s="23"/>
      <c r="D32" s="23"/>
      <c r="E32" s="23"/>
      <c r="F32" s="23"/>
      <c r="G32" s="23"/>
      <c r="H32" s="23"/>
      <c r="I32" s="23"/>
      <c r="J32" s="23"/>
      <c r="K32" s="23"/>
      <c r="L32" s="23"/>
      <c r="M32" s="23"/>
      <c r="N32" s="125"/>
    </row>
    <row r="33" spans="2:14">
      <c r="B33" s="136"/>
      <c r="C33" s="23"/>
      <c r="D33" s="23"/>
      <c r="E33" s="23"/>
      <c r="F33" s="23"/>
      <c r="G33" s="23"/>
      <c r="H33" s="23"/>
      <c r="I33" s="23"/>
      <c r="J33" s="23"/>
      <c r="K33" s="23"/>
      <c r="L33" s="23"/>
      <c r="M33" s="23"/>
      <c r="N33" s="125"/>
    </row>
    <row r="34" spans="2:14" ht="57.75" customHeight="1">
      <c r="B34" s="237" t="s">
        <v>326</v>
      </c>
      <c r="C34" s="238"/>
      <c r="D34" s="238"/>
      <c r="E34" s="238"/>
      <c r="F34" s="238"/>
      <c r="G34" s="238"/>
      <c r="H34" s="238"/>
      <c r="I34" s="238"/>
      <c r="J34" s="238"/>
      <c r="K34" s="238"/>
      <c r="L34" s="238"/>
      <c r="M34" s="238"/>
      <c r="N34" s="125"/>
    </row>
    <row r="35" spans="2:14" ht="60" customHeight="1">
      <c r="B35" s="235" t="s">
        <v>315</v>
      </c>
      <c r="C35" s="236"/>
      <c r="D35" s="236"/>
      <c r="E35" s="236"/>
      <c r="F35" s="236"/>
      <c r="G35" s="236"/>
      <c r="H35" s="236"/>
      <c r="I35" s="236"/>
      <c r="J35" s="236"/>
      <c r="K35" s="236"/>
      <c r="L35" s="236"/>
      <c r="M35" s="236"/>
      <c r="N35" s="125"/>
    </row>
    <row r="36" spans="2:14" ht="81.75" customHeight="1" thickBot="1">
      <c r="B36" s="227" t="s">
        <v>327</v>
      </c>
      <c r="C36" s="228"/>
      <c r="D36" s="228"/>
      <c r="E36" s="228"/>
      <c r="F36" s="228"/>
      <c r="G36" s="228"/>
      <c r="H36" s="228"/>
      <c r="I36" s="228"/>
      <c r="J36" s="228"/>
      <c r="K36" s="228"/>
      <c r="L36" s="228"/>
      <c r="M36" s="228"/>
      <c r="N36" s="139"/>
    </row>
    <row r="37" spans="2:13" ht="15.75" thickTop="1">
      <c r="B37" s="32"/>
      <c r="C37" s="32"/>
      <c r="D37" s="32"/>
      <c r="E37" s="32"/>
      <c r="F37" s="32"/>
      <c r="G37" s="32"/>
      <c r="H37" s="32"/>
      <c r="I37" s="32"/>
      <c r="J37" s="32"/>
      <c r="K37" s="32"/>
      <c r="L37" s="32"/>
      <c r="M37" s="32"/>
    </row>
    <row r="38" spans="2:13">
      <c r="B38" s="32"/>
      <c r="C38" s="32"/>
      <c r="D38" s="32"/>
      <c r="E38" s="32"/>
      <c r="F38" s="32"/>
      <c r="G38" s="32"/>
      <c r="H38" s="32"/>
      <c r="I38" s="32"/>
      <c r="J38" s="32"/>
      <c r="K38" s="32"/>
      <c r="L38" s="32"/>
      <c r="M38" s="32"/>
    </row>
    <row r="39" spans="2:13">
      <c r="B39" s="32"/>
      <c r="C39" s="32"/>
      <c r="D39" s="32"/>
      <c r="E39" s="32"/>
      <c r="F39" s="32"/>
      <c r="G39" s="32"/>
      <c r="H39" s="32"/>
      <c r="I39" s="32"/>
      <c r="J39" s="32"/>
      <c r="K39" s="32"/>
      <c r="L39" s="32"/>
      <c r="M39" s="32"/>
    </row>
    <row r="40" spans="2:13">
      <c r="B40" s="32"/>
      <c r="C40" s="32"/>
      <c r="D40" s="32"/>
      <c r="E40" s="32"/>
      <c r="F40" s="32"/>
      <c r="G40" s="32"/>
      <c r="H40" s="32"/>
      <c r="I40" s="32"/>
      <c r="J40" s="32"/>
      <c r="K40" s="32"/>
      <c r="L40" s="32"/>
      <c r="M40" s="32"/>
    </row>
    <row r="41" spans="2:13">
      <c r="B41" s="32"/>
      <c r="C41" s="32"/>
      <c r="D41" s="32"/>
      <c r="E41" s="32"/>
      <c r="F41" s="32"/>
      <c r="G41" s="32"/>
      <c r="H41" s="32"/>
      <c r="I41" s="32"/>
      <c r="J41" s="32"/>
      <c r="K41" s="32"/>
      <c r="L41" s="32"/>
      <c r="M41" s="32"/>
    </row>
    <row r="42" spans="2:13">
      <c r="B42" s="32"/>
      <c r="C42" s="32"/>
      <c r="D42" s="32"/>
      <c r="E42" s="32"/>
      <c r="F42" s="32"/>
      <c r="G42" s="32"/>
      <c r="H42" s="32"/>
      <c r="I42" s="32"/>
      <c r="J42" s="32"/>
      <c r="K42" s="32"/>
      <c r="L42" s="32"/>
      <c r="M42" s="32"/>
    </row>
    <row r="43" spans="2:13">
      <c r="B43" s="32"/>
      <c r="C43" s="32"/>
      <c r="D43" s="32"/>
      <c r="E43" s="32"/>
      <c r="F43" s="32"/>
      <c r="G43" s="32"/>
      <c r="H43" s="32"/>
      <c r="I43" s="32"/>
      <c r="J43" s="32"/>
      <c r="K43" s="32"/>
      <c r="L43" s="32"/>
      <c r="M43" s="32"/>
    </row>
    <row r="44" spans="2:13">
      <c r="B44" s="32"/>
      <c r="C44" s="32"/>
      <c r="D44" s="32"/>
      <c r="E44" s="32"/>
      <c r="F44" s="32"/>
      <c r="G44" s="32"/>
      <c r="H44" s="32"/>
      <c r="I44" s="32"/>
      <c r="J44" s="32"/>
      <c r="K44" s="32"/>
      <c r="L44" s="32"/>
      <c r="M44" s="32"/>
    </row>
    <row r="45" spans="2:13">
      <c r="B45" s="32"/>
      <c r="C45" s="32"/>
      <c r="D45" s="32"/>
      <c r="E45" s="32"/>
      <c r="F45" s="32"/>
      <c r="G45" s="32"/>
      <c r="H45" s="32"/>
      <c r="I45" s="32"/>
      <c r="J45" s="32"/>
      <c r="K45" s="32"/>
      <c r="L45" s="32"/>
      <c r="M45" s="32"/>
    </row>
    <row r="46" spans="2:13">
      <c r="B46" s="32"/>
      <c r="C46" s="32"/>
      <c r="D46" s="32"/>
      <c r="E46" s="32"/>
      <c r="F46" s="32"/>
      <c r="G46" s="32"/>
      <c r="H46" s="32"/>
      <c r="I46" s="32"/>
      <c r="J46" s="32"/>
      <c r="K46" s="32"/>
      <c r="L46" s="32"/>
      <c r="M46" s="32"/>
    </row>
    <row r="47" spans="2:13">
      <c r="B47" s="32"/>
      <c r="C47" s="32"/>
      <c r="D47" s="32"/>
      <c r="E47" s="32"/>
      <c r="F47" s="32"/>
      <c r="G47" s="32"/>
      <c r="H47" s="32"/>
      <c r="I47" s="32"/>
      <c r="J47" s="32"/>
      <c r="K47" s="32"/>
      <c r="L47" s="32"/>
      <c r="M47" s="32"/>
    </row>
    <row r="48" spans="2:13">
      <c r="B48" s="32"/>
      <c r="C48" s="32"/>
      <c r="D48" s="32"/>
      <c r="E48" s="32"/>
      <c r="F48" s="32"/>
      <c r="G48" s="32"/>
      <c r="H48" s="32"/>
      <c r="I48" s="32"/>
      <c r="J48" s="32"/>
      <c r="K48" s="32"/>
      <c r="L48" s="32"/>
      <c r="M48" s="32"/>
    </row>
    <row r="49" spans="2:13">
      <c r="B49" s="32"/>
      <c r="C49" s="32"/>
      <c r="D49" s="32"/>
      <c r="E49" s="32"/>
      <c r="F49" s="32"/>
      <c r="G49" s="32"/>
      <c r="H49" s="32"/>
      <c r="I49" s="32"/>
      <c r="J49" s="32"/>
      <c r="K49" s="32"/>
      <c r="L49" s="32"/>
      <c r="M49" s="32"/>
    </row>
    <row r="50" spans="2:13">
      <c r="B50" s="32"/>
      <c r="C50" s="32"/>
      <c r="D50" s="32"/>
      <c r="E50" s="32"/>
      <c r="F50" s="32"/>
      <c r="G50" s="32"/>
      <c r="H50" s="32"/>
      <c r="I50" s="32"/>
      <c r="J50" s="32"/>
      <c r="K50" s="32"/>
      <c r="L50" s="32"/>
      <c r="M50" s="32"/>
    </row>
    <row r="51" spans="2:13">
      <c r="B51" s="32"/>
      <c r="C51" s="32"/>
      <c r="D51" s="32"/>
      <c r="E51" s="32"/>
      <c r="F51" s="32"/>
      <c r="G51" s="32"/>
      <c r="H51" s="32"/>
      <c r="I51" s="32"/>
      <c r="J51" s="32"/>
      <c r="K51" s="32"/>
      <c r="L51" s="32"/>
      <c r="M51" s="32"/>
    </row>
    <row r="52" spans="2:13">
      <c r="B52" s="32"/>
      <c r="C52" s="32"/>
      <c r="D52" s="32"/>
      <c r="E52" s="32"/>
      <c r="F52" s="32"/>
      <c r="G52" s="32"/>
      <c r="H52" s="32"/>
      <c r="I52" s="32"/>
      <c r="J52" s="32"/>
      <c r="K52" s="32"/>
      <c r="L52" s="32"/>
      <c r="M52" s="32"/>
    </row>
    <row r="53" spans="2:13">
      <c r="B53" s="32"/>
      <c r="C53" s="32"/>
      <c r="D53" s="32"/>
      <c r="E53" s="32"/>
      <c r="F53" s="32"/>
      <c r="G53" s="32"/>
      <c r="H53" s="32"/>
      <c r="I53" s="32"/>
      <c r="J53" s="32"/>
      <c r="K53" s="32"/>
      <c r="L53" s="32"/>
      <c r="M53" s="32"/>
    </row>
    <row r="54" spans="2:13">
      <c r="B54" s="32"/>
      <c r="C54" s="32"/>
      <c r="D54" s="32"/>
      <c r="E54" s="32"/>
      <c r="F54" s="32"/>
      <c r="G54" s="32"/>
      <c r="H54" s="32"/>
      <c r="I54" s="32"/>
      <c r="J54" s="32"/>
      <c r="K54" s="32"/>
      <c r="L54" s="32"/>
      <c r="M54" s="32"/>
    </row>
    <row r="55" spans="2:13">
      <c r="B55" s="32"/>
      <c r="C55" s="32"/>
      <c r="D55" s="32"/>
      <c r="E55" s="32"/>
      <c r="F55" s="32"/>
      <c r="G55" s="32"/>
      <c r="H55" s="32"/>
      <c r="I55" s="32"/>
      <c r="J55" s="32"/>
      <c r="K55" s="32"/>
      <c r="L55" s="32"/>
      <c r="M55" s="32"/>
    </row>
    <row r="56" spans="2:13">
      <c r="B56" s="32"/>
      <c r="C56" s="32"/>
      <c r="D56" s="32"/>
      <c r="E56" s="32"/>
      <c r="F56" s="32"/>
      <c r="G56" s="32"/>
      <c r="H56" s="32"/>
      <c r="I56" s="32"/>
      <c r="J56" s="32"/>
      <c r="K56" s="32"/>
      <c r="L56" s="32"/>
      <c r="M56" s="32"/>
    </row>
    <row r="57" spans="2:13">
      <c r="B57" s="32"/>
      <c r="C57" s="32"/>
      <c r="D57" s="32"/>
      <c r="E57" s="32"/>
      <c r="F57" s="32"/>
      <c r="G57" s="32"/>
      <c r="H57" s="32"/>
      <c r="I57" s="32"/>
      <c r="J57" s="32"/>
      <c r="K57" s="32"/>
      <c r="L57" s="32"/>
      <c r="M57" s="32"/>
    </row>
    <row r="58" spans="2:13">
      <c r="B58" s="32"/>
      <c r="C58" s="32"/>
      <c r="D58" s="32"/>
      <c r="E58" s="32"/>
      <c r="F58" s="32"/>
      <c r="G58" s="32"/>
      <c r="H58" s="32"/>
      <c r="I58" s="32"/>
      <c r="J58" s="32"/>
      <c r="K58" s="32"/>
      <c r="L58" s="32"/>
      <c r="M58" s="32"/>
    </row>
    <row r="59" spans="2:13">
      <c r="B59" s="32"/>
      <c r="C59" s="32"/>
      <c r="D59" s="32"/>
      <c r="E59" s="32"/>
      <c r="F59" s="32"/>
      <c r="G59" s="32"/>
      <c r="H59" s="32"/>
      <c r="I59" s="32"/>
      <c r="J59" s="32"/>
      <c r="K59" s="32"/>
      <c r="L59" s="32"/>
      <c r="M59" s="32"/>
    </row>
    <row r="60" spans="2:13">
      <c r="B60" s="32"/>
      <c r="C60" s="32"/>
      <c r="D60" s="32"/>
      <c r="E60" s="32"/>
      <c r="F60" s="32"/>
      <c r="G60" s="32"/>
      <c r="H60" s="32"/>
      <c r="I60" s="32"/>
      <c r="J60" s="32"/>
      <c r="K60" s="32"/>
      <c r="L60" s="32"/>
      <c r="M60" s="32"/>
    </row>
    <row r="61" spans="2:13">
      <c r="B61" s="32"/>
      <c r="C61" s="32"/>
      <c r="D61" s="32"/>
      <c r="E61" s="32"/>
      <c r="F61" s="32"/>
      <c r="G61" s="32"/>
      <c r="H61" s="32"/>
      <c r="I61" s="32"/>
      <c r="J61" s="32"/>
      <c r="K61" s="32"/>
      <c r="L61" s="32"/>
      <c r="M61" s="32"/>
    </row>
    <row r="62" spans="2:13">
      <c r="B62" s="32"/>
      <c r="C62" s="32"/>
      <c r="D62" s="32"/>
      <c r="E62" s="32"/>
      <c r="F62" s="32"/>
      <c r="G62" s="32"/>
      <c r="H62" s="32"/>
      <c r="I62" s="32"/>
      <c r="J62" s="32"/>
      <c r="K62" s="32"/>
      <c r="L62" s="32"/>
      <c r="M62" s="32"/>
    </row>
    <row r="63" spans="2:13">
      <c r="B63" s="32"/>
      <c r="C63" s="32"/>
      <c r="D63" s="32"/>
      <c r="E63" s="32"/>
      <c r="F63" s="32"/>
      <c r="G63" s="32"/>
      <c r="H63" s="32"/>
      <c r="I63" s="32"/>
      <c r="J63" s="32"/>
      <c r="K63" s="32"/>
      <c r="L63" s="32"/>
      <c r="M63" s="32"/>
    </row>
    <row r="64" spans="2:13">
      <c r="B64" s="32"/>
      <c r="C64" s="32"/>
      <c r="D64" s="32"/>
      <c r="E64" s="32"/>
      <c r="F64" s="32"/>
      <c r="G64" s="32"/>
      <c r="H64" s="32"/>
      <c r="I64" s="32"/>
      <c r="J64" s="32"/>
      <c r="K64" s="32"/>
      <c r="L64" s="32"/>
      <c r="M64" s="32"/>
    </row>
    <row r="65" spans="2:13">
      <c r="B65" s="32"/>
      <c r="C65" s="32"/>
      <c r="D65" s="32"/>
      <c r="E65" s="32"/>
      <c r="F65" s="32"/>
      <c r="G65" s="32"/>
      <c r="H65" s="32"/>
      <c r="I65" s="32"/>
      <c r="J65" s="32"/>
      <c r="K65" s="32"/>
      <c r="L65" s="32"/>
      <c r="M65" s="32"/>
    </row>
    <row r="66" spans="2:13">
      <c r="B66" s="32"/>
      <c r="C66" s="32"/>
      <c r="D66" s="32"/>
      <c r="E66" s="32"/>
      <c r="F66" s="32"/>
      <c r="G66" s="32"/>
      <c r="H66" s="32"/>
      <c r="I66" s="32"/>
      <c r="J66" s="32"/>
      <c r="K66" s="32"/>
      <c r="L66" s="32"/>
      <c r="M66" s="32"/>
    </row>
    <row r="67" spans="2:13">
      <c r="B67" s="32"/>
      <c r="C67" s="32"/>
      <c r="D67" s="32"/>
      <c r="E67" s="32"/>
      <c r="F67" s="32"/>
      <c r="G67" s="32"/>
      <c r="H67" s="32"/>
      <c r="I67" s="32"/>
      <c r="J67" s="32"/>
      <c r="K67" s="32"/>
      <c r="L67" s="32"/>
      <c r="M67" s="32"/>
    </row>
    <row r="68" spans="2:13">
      <c r="B68" s="32"/>
      <c r="C68" s="32"/>
      <c r="D68" s="32"/>
      <c r="E68" s="32"/>
      <c r="F68" s="32"/>
      <c r="G68" s="32"/>
      <c r="H68" s="32"/>
      <c r="I68" s="32"/>
      <c r="J68" s="32"/>
      <c r="K68" s="32"/>
      <c r="L68" s="32"/>
      <c r="M68" s="32"/>
    </row>
    <row r="69" spans="2:13">
      <c r="B69" s="32"/>
      <c r="C69" s="32"/>
      <c r="D69" s="32"/>
      <c r="E69" s="32"/>
      <c r="F69" s="32"/>
      <c r="G69" s="32"/>
      <c r="H69" s="32"/>
      <c r="I69" s="32"/>
      <c r="J69" s="32"/>
      <c r="K69" s="32"/>
      <c r="L69" s="32"/>
      <c r="M69" s="32"/>
    </row>
    <row r="70" spans="2:13">
      <c r="B70" s="32"/>
      <c r="C70" s="32"/>
      <c r="D70" s="32"/>
      <c r="E70" s="32"/>
      <c r="F70" s="32"/>
      <c r="G70" s="32"/>
      <c r="H70" s="32"/>
      <c r="I70" s="32"/>
      <c r="J70" s="32"/>
      <c r="K70" s="32"/>
      <c r="L70" s="32"/>
      <c r="M70" s="32"/>
    </row>
    <row r="71" spans="2:13">
      <c r="B71" s="32"/>
      <c r="C71" s="32"/>
      <c r="D71" s="32"/>
      <c r="E71" s="32"/>
      <c r="F71" s="32"/>
      <c r="G71" s="32"/>
      <c r="H71" s="32"/>
      <c r="I71" s="32"/>
      <c r="J71" s="32"/>
      <c r="K71" s="32"/>
      <c r="L71" s="32"/>
      <c r="M71" s="32"/>
    </row>
    <row r="72" spans="2:13">
      <c r="B72" s="32"/>
      <c r="C72" s="32"/>
      <c r="D72" s="32"/>
      <c r="E72" s="32"/>
      <c r="F72" s="32"/>
      <c r="G72" s="32"/>
      <c r="H72" s="32"/>
      <c r="I72" s="32"/>
      <c r="J72" s="32"/>
      <c r="K72" s="32"/>
      <c r="L72" s="32"/>
      <c r="M72" s="32"/>
    </row>
    <row r="73" spans="2:13">
      <c r="B73" s="32"/>
      <c r="C73" s="32"/>
      <c r="D73" s="32"/>
      <c r="E73" s="32"/>
      <c r="F73" s="32"/>
      <c r="G73" s="32"/>
      <c r="H73" s="32"/>
      <c r="I73" s="32"/>
      <c r="J73" s="32"/>
      <c r="K73" s="32"/>
      <c r="L73" s="32"/>
      <c r="M73" s="32"/>
    </row>
    <row r="74" spans="2:13">
      <c r="B74" s="32"/>
      <c r="C74" s="32"/>
      <c r="D74" s="32"/>
      <c r="E74" s="32"/>
      <c r="F74" s="32"/>
      <c r="G74" s="32"/>
      <c r="H74" s="32"/>
      <c r="I74" s="32"/>
      <c r="J74" s="32"/>
      <c r="K74" s="32"/>
      <c r="L74" s="32"/>
      <c r="M74" s="32"/>
    </row>
    <row r="75" spans="2:13">
      <c r="B75" s="32"/>
      <c r="C75" s="32"/>
      <c r="D75" s="32"/>
      <c r="E75" s="32"/>
      <c r="F75" s="32"/>
      <c r="G75" s="32"/>
      <c r="H75" s="32"/>
      <c r="I75" s="32"/>
      <c r="J75" s="32"/>
      <c r="K75" s="32"/>
      <c r="L75" s="32"/>
      <c r="M75" s="32"/>
    </row>
    <row r="76" spans="2:13">
      <c r="B76" s="32"/>
      <c r="C76" s="32"/>
      <c r="D76" s="32"/>
      <c r="E76" s="32"/>
      <c r="F76" s="32"/>
      <c r="G76" s="32"/>
      <c r="H76" s="32"/>
      <c r="I76" s="32"/>
      <c r="J76" s="32"/>
      <c r="K76" s="32"/>
      <c r="L76" s="32"/>
      <c r="M76" s="32"/>
    </row>
    <row r="77" spans="2:13">
      <c r="B77" s="32"/>
      <c r="C77" s="32"/>
      <c r="D77" s="32"/>
      <c r="E77" s="32"/>
      <c r="F77" s="32"/>
      <c r="G77" s="32"/>
      <c r="H77" s="32"/>
      <c r="I77" s="32"/>
      <c r="J77" s="32"/>
      <c r="K77" s="32"/>
      <c r="L77" s="32"/>
      <c r="M77" s="32"/>
    </row>
    <row r="78" spans="2:13">
      <c r="B78" s="32"/>
      <c r="C78" s="32"/>
      <c r="D78" s="32"/>
      <c r="E78" s="32"/>
      <c r="F78" s="32"/>
      <c r="G78" s="32"/>
      <c r="H78" s="32"/>
      <c r="I78" s="32"/>
      <c r="J78" s="32"/>
      <c r="K78" s="32"/>
      <c r="L78" s="32"/>
      <c r="M78" s="32"/>
    </row>
    <row r="79" spans="2:13">
      <c r="B79" s="32"/>
      <c r="C79" s="32"/>
      <c r="D79" s="32"/>
      <c r="E79" s="32"/>
      <c r="F79" s="32"/>
      <c r="G79" s="32"/>
      <c r="H79" s="32"/>
      <c r="I79" s="32"/>
      <c r="J79" s="32"/>
      <c r="K79" s="32"/>
      <c r="L79" s="32"/>
      <c r="M79" s="32"/>
    </row>
    <row r="80" spans="2:13">
      <c r="B80" s="32"/>
      <c r="C80" s="32"/>
      <c r="D80" s="32"/>
      <c r="E80" s="32"/>
      <c r="F80" s="32"/>
      <c r="G80" s="32"/>
      <c r="H80" s="32"/>
      <c r="I80" s="32"/>
      <c r="J80" s="32"/>
      <c r="K80" s="32"/>
      <c r="L80" s="32"/>
      <c r="M80" s="32"/>
    </row>
    <row r="81" spans="2:13">
      <c r="B81" s="32"/>
      <c r="C81" s="32"/>
      <c r="D81" s="32"/>
      <c r="E81" s="32"/>
      <c r="F81" s="32"/>
      <c r="G81" s="32"/>
      <c r="H81" s="32"/>
      <c r="I81" s="32"/>
      <c r="J81" s="32"/>
      <c r="K81" s="32"/>
      <c r="L81" s="32"/>
      <c r="M81" s="32"/>
    </row>
    <row r="82" spans="2:13">
      <c r="B82" s="32"/>
      <c r="C82" s="32"/>
      <c r="D82" s="32"/>
      <c r="E82" s="32"/>
      <c r="F82" s="32"/>
      <c r="G82" s="32"/>
      <c r="H82" s="32"/>
      <c r="I82" s="32"/>
      <c r="J82" s="32"/>
      <c r="K82" s="32"/>
      <c r="L82" s="32"/>
      <c r="M82" s="32"/>
    </row>
    <row r="83" spans="2:13">
      <c r="B83" s="32"/>
      <c r="C83" s="32"/>
      <c r="D83" s="32"/>
      <c r="E83" s="32"/>
      <c r="F83" s="32"/>
      <c r="G83" s="32"/>
      <c r="H83" s="32"/>
      <c r="I83" s="32"/>
      <c r="J83" s="32"/>
      <c r="K83" s="32"/>
      <c r="L83" s="32"/>
      <c r="M83" s="32"/>
    </row>
    <row r="84" spans="2:13">
      <c r="B84" s="32"/>
      <c r="C84" s="32"/>
      <c r="D84" s="32"/>
      <c r="E84" s="32"/>
      <c r="F84" s="32"/>
      <c r="G84" s="32"/>
      <c r="H84" s="32"/>
      <c r="I84" s="32"/>
      <c r="J84" s="32"/>
      <c r="K84" s="32"/>
      <c r="L84" s="32"/>
      <c r="M84" s="32"/>
    </row>
    <row r="85" spans="2:13">
      <c r="B85" s="32"/>
      <c r="C85" s="32"/>
      <c r="D85" s="32"/>
      <c r="E85" s="32"/>
      <c r="F85" s="32"/>
      <c r="G85" s="32"/>
      <c r="H85" s="32"/>
      <c r="I85" s="32"/>
      <c r="J85" s="32"/>
      <c r="K85" s="32"/>
      <c r="L85" s="32"/>
      <c r="M85" s="32"/>
    </row>
    <row r="86" spans="2:13">
      <c r="B86" s="32"/>
      <c r="C86" s="32"/>
      <c r="D86" s="32"/>
      <c r="E86" s="32"/>
      <c r="F86" s="32"/>
      <c r="G86" s="32"/>
      <c r="H86" s="32"/>
      <c r="I86" s="32"/>
      <c r="J86" s="32"/>
      <c r="K86" s="32"/>
      <c r="L86" s="32"/>
      <c r="M86" s="32"/>
    </row>
    <row r="87" spans="2:13">
      <c r="B87" s="32"/>
      <c r="C87" s="32"/>
      <c r="D87" s="32"/>
      <c r="E87" s="32"/>
      <c r="F87" s="32"/>
      <c r="G87" s="32"/>
      <c r="H87" s="32"/>
      <c r="I87" s="32"/>
      <c r="J87" s="32"/>
      <c r="K87" s="32"/>
      <c r="L87" s="32"/>
      <c r="M87" s="32"/>
    </row>
    <row r="88" spans="2:13">
      <c r="B88" s="32"/>
      <c r="C88" s="32"/>
      <c r="D88" s="32"/>
      <c r="E88" s="32"/>
      <c r="F88" s="32"/>
      <c r="G88" s="32"/>
      <c r="H88" s="32"/>
      <c r="I88" s="32"/>
      <c r="J88" s="32"/>
      <c r="K88" s="32"/>
      <c r="L88" s="32"/>
      <c r="M88" s="32"/>
    </row>
    <row r="89" spans="2:13">
      <c r="B89" s="32"/>
      <c r="C89" s="32"/>
      <c r="D89" s="32"/>
      <c r="E89" s="32"/>
      <c r="F89" s="32"/>
      <c r="G89" s="32"/>
      <c r="H89" s="32"/>
      <c r="I89" s="32"/>
      <c r="J89" s="32"/>
      <c r="K89" s="32"/>
      <c r="L89" s="32"/>
      <c r="M89" s="32"/>
    </row>
    <row r="90" spans="2:13">
      <c r="B90" s="32"/>
      <c r="C90" s="32"/>
      <c r="D90" s="32"/>
      <c r="E90" s="32"/>
      <c r="F90" s="32"/>
      <c r="G90" s="32"/>
      <c r="H90" s="32"/>
      <c r="I90" s="32"/>
      <c r="J90" s="32"/>
      <c r="K90" s="32"/>
      <c r="L90" s="32"/>
      <c r="M90" s="32"/>
    </row>
    <row r="91" spans="2:13">
      <c r="B91" s="32"/>
      <c r="C91" s="32"/>
      <c r="D91" s="32"/>
      <c r="E91" s="32"/>
      <c r="F91" s="32"/>
      <c r="G91" s="32"/>
      <c r="H91" s="32"/>
      <c r="I91" s="32"/>
      <c r="J91" s="32"/>
      <c r="K91" s="32"/>
      <c r="L91" s="32"/>
      <c r="M91" s="32"/>
    </row>
    <row r="92" spans="2:13">
      <c r="B92" s="32"/>
      <c r="C92" s="32"/>
      <c r="D92" s="32"/>
      <c r="E92" s="32"/>
      <c r="F92" s="32"/>
      <c r="G92" s="32"/>
      <c r="H92" s="32"/>
      <c r="I92" s="32"/>
      <c r="J92" s="32"/>
      <c r="K92" s="32"/>
      <c r="L92" s="32"/>
      <c r="M92" s="32"/>
    </row>
    <row r="93" spans="2:13">
      <c r="B93" s="32"/>
      <c r="C93" s="32"/>
      <c r="D93" s="32"/>
      <c r="E93" s="32"/>
      <c r="F93" s="32"/>
      <c r="G93" s="32"/>
      <c r="H93" s="32"/>
      <c r="I93" s="32"/>
      <c r="J93" s="32"/>
      <c r="K93" s="32"/>
      <c r="L93" s="32"/>
      <c r="M93" s="32"/>
    </row>
    <row r="94" spans="2:13">
      <c r="B94" s="32"/>
      <c r="C94" s="32"/>
      <c r="D94" s="32"/>
      <c r="E94" s="32"/>
      <c r="F94" s="32"/>
      <c r="G94" s="32"/>
      <c r="H94" s="32"/>
      <c r="I94" s="32"/>
      <c r="J94" s="32"/>
      <c r="K94" s="32"/>
      <c r="L94" s="32"/>
      <c r="M94" s="32"/>
    </row>
    <row r="95" spans="2:13">
      <c r="B95" s="32"/>
      <c r="C95" s="32"/>
      <c r="D95" s="32"/>
      <c r="E95" s="32"/>
      <c r="F95" s="32"/>
      <c r="G95" s="32"/>
      <c r="H95" s="32"/>
      <c r="I95" s="32"/>
      <c r="J95" s="32"/>
      <c r="K95" s="32"/>
      <c r="L95" s="32"/>
      <c r="M95" s="32"/>
    </row>
    <row r="96" spans="2:13">
      <c r="B96" s="32"/>
      <c r="C96" s="32"/>
      <c r="D96" s="32"/>
      <c r="E96" s="32"/>
      <c r="F96" s="32"/>
      <c r="G96" s="32"/>
      <c r="H96" s="32"/>
      <c r="I96" s="32"/>
      <c r="J96" s="32"/>
      <c r="K96" s="32"/>
      <c r="L96" s="32"/>
      <c r="M96" s="32"/>
    </row>
    <row r="97" spans="2:13">
      <c r="B97" s="32"/>
      <c r="C97" s="32"/>
      <c r="D97" s="32"/>
      <c r="E97" s="32"/>
      <c r="F97" s="32"/>
      <c r="G97" s="32"/>
      <c r="H97" s="32"/>
      <c r="I97" s="32"/>
      <c r="J97" s="32"/>
      <c r="K97" s="32"/>
      <c r="L97" s="32"/>
      <c r="M97" s="32"/>
    </row>
    <row r="98" spans="2:13">
      <c r="B98" s="32"/>
      <c r="C98" s="32"/>
      <c r="D98" s="32"/>
      <c r="E98" s="32"/>
      <c r="F98" s="32"/>
      <c r="G98" s="32"/>
      <c r="H98" s="32"/>
      <c r="I98" s="32"/>
      <c r="J98" s="32"/>
      <c r="K98" s="32"/>
      <c r="L98" s="32"/>
      <c r="M98" s="32"/>
    </row>
    <row r="99" spans="2:13">
      <c r="B99" s="32"/>
      <c r="C99" s="32"/>
      <c r="D99" s="32"/>
      <c r="E99" s="32"/>
      <c r="F99" s="32"/>
      <c r="G99" s="32"/>
      <c r="H99" s="32"/>
      <c r="I99" s="32"/>
      <c r="J99" s="32"/>
      <c r="K99" s="32"/>
      <c r="L99" s="32"/>
      <c r="M99" s="32"/>
    </row>
    <row r="100" spans="2:13">
      <c r="B100" s="32"/>
      <c r="C100" s="32"/>
      <c r="D100" s="32"/>
      <c r="E100" s="32"/>
      <c r="F100" s="32"/>
      <c r="G100" s="32"/>
      <c r="H100" s="32"/>
      <c r="I100" s="32"/>
      <c r="J100" s="32"/>
      <c r="K100" s="32"/>
      <c r="L100" s="32"/>
      <c r="M100" s="32"/>
    </row>
    <row r="101" spans="2:13">
      <c r="B101" s="32"/>
      <c r="C101" s="32"/>
      <c r="D101" s="32"/>
      <c r="E101" s="32"/>
      <c r="F101" s="32"/>
      <c r="G101" s="32"/>
      <c r="H101" s="32"/>
      <c r="I101" s="32"/>
      <c r="J101" s="32"/>
      <c r="K101" s="32"/>
      <c r="L101" s="32"/>
      <c r="M101" s="32"/>
    </row>
    <row r="102" spans="2:13">
      <c r="B102" s="32"/>
      <c r="C102" s="32"/>
      <c r="D102" s="32"/>
      <c r="E102" s="32"/>
      <c r="F102" s="32"/>
      <c r="G102" s="32"/>
      <c r="H102" s="32"/>
      <c r="I102" s="32"/>
      <c r="J102" s="32"/>
      <c r="K102" s="32"/>
      <c r="L102" s="32"/>
      <c r="M102" s="32"/>
    </row>
    <row r="103" spans="2:13">
      <c r="B103" s="32"/>
      <c r="C103" s="32"/>
      <c r="D103" s="32"/>
      <c r="E103" s="32"/>
      <c r="F103" s="32"/>
      <c r="G103" s="32"/>
      <c r="H103" s="32"/>
      <c r="I103" s="32"/>
      <c r="J103" s="32"/>
      <c r="K103" s="32"/>
      <c r="L103" s="32"/>
      <c r="M103" s="32"/>
    </row>
    <row r="104" spans="2:13">
      <c r="B104" s="32"/>
      <c r="C104" s="32"/>
      <c r="D104" s="32"/>
      <c r="E104" s="32"/>
      <c r="F104" s="32"/>
      <c r="G104" s="32"/>
      <c r="H104" s="32"/>
      <c r="I104" s="32"/>
      <c r="J104" s="32"/>
      <c r="K104" s="32"/>
      <c r="L104" s="32"/>
      <c r="M104" s="32"/>
    </row>
    <row r="105" spans="2:13">
      <c r="B105" s="32"/>
      <c r="C105" s="32"/>
      <c r="D105" s="32"/>
      <c r="E105" s="32"/>
      <c r="F105" s="32"/>
      <c r="G105" s="32"/>
      <c r="H105" s="32"/>
      <c r="I105" s="32"/>
      <c r="J105" s="32"/>
      <c r="K105" s="32"/>
      <c r="L105" s="32"/>
      <c r="M105" s="32"/>
    </row>
    <row r="106" spans="2:13">
      <c r="B106" s="32"/>
      <c r="C106" s="32"/>
      <c r="D106" s="32"/>
      <c r="E106" s="32"/>
      <c r="F106" s="32"/>
      <c r="G106" s="32"/>
      <c r="H106" s="32"/>
      <c r="I106" s="32"/>
      <c r="J106" s="32"/>
      <c r="K106" s="32"/>
      <c r="L106" s="32"/>
      <c r="M106" s="32"/>
    </row>
    <row r="107" spans="2:13">
      <c r="B107" s="32"/>
      <c r="C107" s="32"/>
      <c r="D107" s="32"/>
      <c r="E107" s="32"/>
      <c r="F107" s="32"/>
      <c r="G107" s="32"/>
      <c r="H107" s="32"/>
      <c r="I107" s="32"/>
      <c r="J107" s="32"/>
      <c r="K107" s="32"/>
      <c r="L107" s="32"/>
      <c r="M107" s="32"/>
    </row>
    <row r="108" spans="2:13">
      <c r="B108" s="32"/>
      <c r="C108" s="32"/>
      <c r="D108" s="32"/>
      <c r="E108" s="32"/>
      <c r="F108" s="32"/>
      <c r="G108" s="32"/>
      <c r="H108" s="32"/>
      <c r="I108" s="32"/>
      <c r="J108" s="32"/>
      <c r="K108" s="32"/>
      <c r="L108" s="32"/>
      <c r="M108" s="32"/>
    </row>
    <row r="109" spans="2:13">
      <c r="B109" s="32"/>
      <c r="C109" s="32"/>
      <c r="D109" s="32"/>
      <c r="E109" s="32"/>
      <c r="F109" s="32"/>
      <c r="G109" s="32"/>
      <c r="H109" s="32"/>
      <c r="I109" s="32"/>
      <c r="J109" s="32"/>
      <c r="K109" s="32"/>
      <c r="L109" s="32"/>
      <c r="M109" s="32"/>
    </row>
    <row r="110" spans="2:13">
      <c r="B110" s="32"/>
      <c r="C110" s="32"/>
      <c r="D110" s="32"/>
      <c r="E110" s="32"/>
      <c r="F110" s="32"/>
      <c r="G110" s="32"/>
      <c r="H110" s="32"/>
      <c r="I110" s="32"/>
      <c r="J110" s="32"/>
      <c r="K110" s="32"/>
      <c r="L110" s="32"/>
      <c r="M110" s="32"/>
    </row>
    <row r="111" spans="2:13">
      <c r="B111" s="32"/>
      <c r="C111" s="32"/>
      <c r="D111" s="32"/>
      <c r="E111" s="32"/>
      <c r="F111" s="32"/>
      <c r="G111" s="32"/>
      <c r="H111" s="32"/>
      <c r="I111" s="32"/>
      <c r="J111" s="32"/>
      <c r="K111" s="32"/>
      <c r="L111" s="32"/>
      <c r="M111" s="32"/>
    </row>
    <row r="112" spans="2:13">
      <c r="B112" s="32"/>
      <c r="C112" s="32"/>
      <c r="D112" s="32"/>
      <c r="E112" s="32"/>
      <c r="F112" s="32"/>
      <c r="G112" s="32"/>
      <c r="H112" s="32"/>
      <c r="I112" s="32"/>
      <c r="J112" s="32"/>
      <c r="K112" s="32"/>
      <c r="L112" s="32"/>
      <c r="M112" s="32"/>
    </row>
    <row r="113" spans="2:13">
      <c r="B113" s="32"/>
      <c r="C113" s="32"/>
      <c r="D113" s="32"/>
      <c r="E113" s="32"/>
      <c r="F113" s="32"/>
      <c r="G113" s="32"/>
      <c r="H113" s="32"/>
      <c r="I113" s="32"/>
      <c r="J113" s="32"/>
      <c r="K113" s="32"/>
      <c r="L113" s="32"/>
      <c r="M113" s="32"/>
    </row>
    <row r="114" spans="2:13">
      <c r="B114" s="32"/>
      <c r="C114" s="32"/>
      <c r="D114" s="32"/>
      <c r="E114" s="32"/>
      <c r="F114" s="32"/>
      <c r="G114" s="32"/>
      <c r="H114" s="32"/>
      <c r="I114" s="32"/>
      <c r="J114" s="32"/>
      <c r="K114" s="32"/>
      <c r="L114" s="32"/>
      <c r="M114" s="32"/>
    </row>
    <row r="115" spans="2:13">
      <c r="B115" s="32"/>
      <c r="C115" s="32"/>
      <c r="D115" s="32"/>
      <c r="E115" s="32"/>
      <c r="F115" s="32"/>
      <c r="G115" s="32"/>
      <c r="H115" s="32"/>
      <c r="I115" s="32"/>
      <c r="J115" s="32"/>
      <c r="K115" s="32"/>
      <c r="L115" s="32"/>
      <c r="M115" s="32"/>
    </row>
    <row r="116" spans="2:13">
      <c r="B116" s="32"/>
      <c r="C116" s="32"/>
      <c r="D116" s="32"/>
      <c r="E116" s="32"/>
      <c r="F116" s="32"/>
      <c r="G116" s="32"/>
      <c r="H116" s="32"/>
      <c r="I116" s="32"/>
      <c r="J116" s="32"/>
      <c r="K116" s="32"/>
      <c r="L116" s="32"/>
      <c r="M116" s="32"/>
    </row>
    <row r="117" spans="2:13">
      <c r="B117" s="32"/>
      <c r="C117" s="32"/>
      <c r="D117" s="32"/>
      <c r="E117" s="32"/>
      <c r="F117" s="32"/>
      <c r="G117" s="32"/>
      <c r="H117" s="32"/>
      <c r="I117" s="32"/>
      <c r="J117" s="32"/>
      <c r="K117" s="32"/>
      <c r="L117" s="32"/>
      <c r="M117" s="32"/>
    </row>
    <row r="118" spans="2:13">
      <c r="B118" s="32"/>
      <c r="C118" s="32"/>
      <c r="D118" s="32"/>
      <c r="E118" s="32"/>
      <c r="F118" s="32"/>
      <c r="G118" s="32"/>
      <c r="H118" s="32"/>
      <c r="I118" s="32"/>
      <c r="J118" s="32"/>
      <c r="K118" s="32"/>
      <c r="L118" s="32"/>
      <c r="M118" s="32"/>
    </row>
    <row r="119" spans="2:13">
      <c r="B119" s="32"/>
      <c r="C119" s="32"/>
      <c r="D119" s="32"/>
      <c r="E119" s="32"/>
      <c r="F119" s="32"/>
      <c r="G119" s="32"/>
      <c r="H119" s="32"/>
      <c r="I119" s="32"/>
      <c r="J119" s="32"/>
      <c r="K119" s="32"/>
      <c r="L119" s="32"/>
      <c r="M119" s="32"/>
    </row>
    <row r="120" spans="2:13">
      <c r="B120" s="32"/>
      <c r="C120" s="32"/>
      <c r="D120" s="32"/>
      <c r="E120" s="32"/>
      <c r="F120" s="32"/>
      <c r="G120" s="32"/>
      <c r="H120" s="32"/>
      <c r="I120" s="32"/>
      <c r="J120" s="32"/>
      <c r="K120" s="32"/>
      <c r="L120" s="32"/>
      <c r="M120" s="32"/>
    </row>
    <row r="121" spans="2:13">
      <c r="B121" s="32"/>
      <c r="C121" s="32"/>
      <c r="D121" s="32"/>
      <c r="E121" s="32"/>
      <c r="F121" s="32"/>
      <c r="G121" s="32"/>
      <c r="H121" s="32"/>
      <c r="I121" s="32"/>
      <c r="J121" s="32"/>
      <c r="K121" s="32"/>
      <c r="L121" s="32"/>
      <c r="M121" s="32"/>
    </row>
  </sheetData>
  <sheetProtection algorithmName="SHA-512" hashValue="TawHA/RZ88gA8JiXhteCRCWJwmjhGxs3qRxrI6roSg5uYiV2yU9dnWHEZC8G2TwlxQnKiLVFYe0eDEbTpPm6UA==" saltValue="KTDgw1V78OVYAXti3K1QPQ==" spinCount="100000" sheet="1" objects="1" scenarios="1" selectLockedCells="1" selectUnlockedCells="1"/>
  <mergeCells count="6">
    <mergeCell ref="B36:M36"/>
    <mergeCell ref="B3:N5"/>
    <mergeCell ref="B7:M7"/>
    <mergeCell ref="B8:M8"/>
    <mergeCell ref="B34:M34"/>
    <mergeCell ref="B35:M35"/>
  </mergeCells>
  <pageMargins left="0.7" right="0.7" top="0.75" bottom="0.75" header="0.3" footer="0.3"/>
  <pageSetup paperSize="9" orientation="portrait"/>
  <headerFooter scaleWithDoc="1" alignWithMargins="0" differentFirst="0" differentOddEven="0"/>
  <drawing r:id="rId2"/>
  <extLst/>
</worksheet>
</file>

<file path=xl/worksheets/sheet3.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3:AE97"/>
  <sheetViews>
    <sheetView showRowColHeaders="0" view="normal" workbookViewId="0">
      <selection pane="topLeft" activeCell="B6" sqref="B6:M6"/>
    </sheetView>
  </sheetViews>
  <sheetFormatPr defaultColWidth="9.140625" defaultRowHeight="15"/>
  <cols>
    <col min="1" max="13" width="9.140625" style="140" customWidth="1"/>
    <col min="14" max="14" width="1.7109375" style="140" customWidth="1"/>
    <col min="15" max="26" width="9.140625" style="140" customWidth="1"/>
    <col min="27" max="27" width="2.84765625" style="140" customWidth="1"/>
    <col min="28" max="29" width="9.140625" style="140" hidden="1" customWidth="1"/>
    <col min="30" max="30" width="8.5703125" style="140" hidden="1" customWidth="1"/>
    <col min="31" max="31" width="0.42578125" style="140" customWidth="1"/>
    <col min="32" max="16384" width="9.140625" style="140" customWidth="1"/>
  </cols>
  <sheetData>
    <row r="3" spans="1:31" ht="15.75" customHeight="1">
      <c r="A3" s="206"/>
      <c r="B3" s="241" t="s">
        <v>308</v>
      </c>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row>
    <row r="4" spans="1:31" customHeight="1">
      <c r="A4" s="206"/>
      <c r="B4" s="241"/>
      <c r="C4" s="241"/>
      <c r="D4" s="241"/>
      <c r="E4" s="241"/>
      <c r="F4" s="241"/>
      <c r="G4" s="241"/>
      <c r="H4" s="241"/>
      <c r="I4" s="241"/>
      <c r="J4" s="241"/>
      <c r="K4" s="241"/>
      <c r="L4" s="241"/>
      <c r="M4" s="241"/>
      <c r="N4" s="241"/>
      <c r="O4" s="241"/>
      <c r="P4" s="241"/>
      <c r="Q4" s="241"/>
      <c r="R4" s="241"/>
      <c r="S4" s="241"/>
      <c r="T4" s="241"/>
      <c r="U4" s="241"/>
      <c r="V4" s="241"/>
      <c r="W4" s="241"/>
      <c r="X4" s="241"/>
      <c r="Y4" s="241"/>
      <c r="Z4" s="241"/>
      <c r="AA4" s="241"/>
      <c r="AB4" s="241"/>
      <c r="AC4" s="241"/>
      <c r="AD4" s="241"/>
      <c r="AE4" s="241"/>
    </row>
    <row r="5" spans="2:14" ht="8.25" customHeight="1">
      <c r="B5" s="135"/>
      <c r="C5" s="1"/>
      <c r="D5" s="1"/>
      <c r="E5" s="1"/>
      <c r="F5" s="1"/>
      <c r="G5" s="1"/>
      <c r="H5" s="1"/>
      <c r="I5" s="1"/>
      <c r="J5" s="1"/>
      <c r="K5" s="1"/>
      <c r="L5" s="1"/>
      <c r="M5" s="1"/>
      <c r="N5" s="125"/>
    </row>
    <row r="6" spans="2:14" ht="26.25" customHeight="1">
      <c r="B6" s="235" t="s">
        <v>328</v>
      </c>
      <c r="C6" s="236"/>
      <c r="D6" s="236"/>
      <c r="E6" s="236"/>
      <c r="F6" s="236"/>
      <c r="G6" s="236"/>
      <c r="H6" s="236"/>
      <c r="I6" s="236"/>
      <c r="J6" s="236"/>
      <c r="K6" s="236"/>
      <c r="L6" s="236"/>
      <c r="M6" s="236"/>
      <c r="N6" s="125"/>
    </row>
    <row r="7" spans="2:14" ht="59.25" customHeight="1">
      <c r="B7" s="239" t="s">
        <v>309</v>
      </c>
      <c r="C7" s="240"/>
      <c r="D7" s="240"/>
      <c r="E7" s="240"/>
      <c r="F7" s="240"/>
      <c r="G7" s="240"/>
      <c r="H7" s="240"/>
      <c r="I7" s="240"/>
      <c r="J7" s="240"/>
      <c r="K7" s="240"/>
      <c r="L7" s="240"/>
      <c r="M7" s="240"/>
      <c r="N7" s="125"/>
    </row>
    <row r="8" spans="2:14" ht="62.25" customHeight="1">
      <c r="B8" s="239" t="s">
        <v>310</v>
      </c>
      <c r="C8" s="240"/>
      <c r="D8" s="240"/>
      <c r="E8" s="240"/>
      <c r="F8" s="240"/>
      <c r="G8" s="240"/>
      <c r="H8" s="240"/>
      <c r="I8" s="240"/>
      <c r="J8" s="240"/>
      <c r="K8" s="240"/>
      <c r="L8" s="240"/>
      <c r="M8" s="240"/>
      <c r="N8" s="125"/>
    </row>
    <row r="9" spans="2:14" ht="75" customHeight="1">
      <c r="B9" s="239" t="s">
        <v>311</v>
      </c>
      <c r="C9" s="240"/>
      <c r="D9" s="240"/>
      <c r="E9" s="240"/>
      <c r="F9" s="240"/>
      <c r="G9" s="240"/>
      <c r="H9" s="240"/>
      <c r="I9" s="240"/>
      <c r="J9" s="240"/>
      <c r="K9" s="240"/>
      <c r="L9" s="240"/>
      <c r="M9" s="240"/>
      <c r="N9" s="125"/>
    </row>
    <row r="10" spans="2:14" ht="74.25" customHeight="1">
      <c r="B10" s="239" t="s">
        <v>312</v>
      </c>
      <c r="C10" s="240"/>
      <c r="D10" s="240"/>
      <c r="E10" s="240"/>
      <c r="F10" s="240"/>
      <c r="G10" s="240"/>
      <c r="H10" s="240"/>
      <c r="I10" s="240"/>
      <c r="J10" s="240"/>
      <c r="K10" s="240"/>
      <c r="L10" s="240"/>
      <c r="M10" s="240"/>
      <c r="N10" s="125"/>
    </row>
    <row r="11" spans="2:14" ht="45" customHeight="1">
      <c r="B11" s="239" t="s">
        <v>313</v>
      </c>
      <c r="C11" s="240"/>
      <c r="D11" s="240"/>
      <c r="E11" s="240"/>
      <c r="F11" s="240"/>
      <c r="G11" s="240"/>
      <c r="H11" s="240"/>
      <c r="I11" s="240"/>
      <c r="J11" s="240"/>
      <c r="K11" s="240"/>
      <c r="L11" s="240"/>
      <c r="M11" s="240"/>
      <c r="N11" s="125"/>
    </row>
    <row r="12" spans="2:14" ht="6.75" customHeight="1" thickBot="1">
      <c r="B12" s="227"/>
      <c r="C12" s="228"/>
      <c r="D12" s="228"/>
      <c r="E12" s="228"/>
      <c r="F12" s="228"/>
      <c r="G12" s="228"/>
      <c r="H12" s="228"/>
      <c r="I12" s="228"/>
      <c r="J12" s="228"/>
      <c r="K12" s="228"/>
      <c r="L12" s="228"/>
      <c r="M12" s="228"/>
      <c r="N12" s="139"/>
    </row>
    <row r="13" spans="2:13" ht="15.75" thickTop="1">
      <c r="B13" s="32"/>
      <c r="C13" s="32"/>
      <c r="D13" s="32"/>
      <c r="E13" s="32"/>
      <c r="F13" s="32"/>
      <c r="G13" s="32"/>
      <c r="H13" s="32"/>
      <c r="I13" s="32"/>
      <c r="J13" s="32"/>
      <c r="K13" s="32"/>
      <c r="L13" s="32"/>
      <c r="M13" s="32"/>
    </row>
    <row r="14" spans="2:13">
      <c r="B14" s="32"/>
      <c r="C14" s="32"/>
      <c r="D14" s="32"/>
      <c r="E14" s="32"/>
      <c r="F14" s="32"/>
      <c r="G14" s="32"/>
      <c r="H14" s="32"/>
      <c r="I14" s="32"/>
      <c r="J14" s="32"/>
      <c r="K14" s="32"/>
      <c r="L14" s="32"/>
      <c r="M14" s="32"/>
    </row>
    <row r="15" spans="2:13">
      <c r="B15" s="32"/>
      <c r="C15" s="32"/>
      <c r="D15" s="32"/>
      <c r="E15" s="32"/>
      <c r="F15" s="32"/>
      <c r="G15" s="32"/>
      <c r="H15" s="32"/>
      <c r="I15" s="32"/>
      <c r="J15" s="32"/>
      <c r="K15" s="32"/>
      <c r="L15" s="32"/>
      <c r="M15" s="32"/>
    </row>
    <row r="16" spans="2:13">
      <c r="B16" s="32"/>
      <c r="C16" s="32"/>
      <c r="D16" s="32"/>
      <c r="E16" s="32"/>
      <c r="F16" s="32"/>
      <c r="G16" s="32"/>
      <c r="H16" s="32"/>
      <c r="I16" s="32"/>
      <c r="J16" s="32"/>
      <c r="K16" s="32"/>
      <c r="L16" s="32"/>
      <c r="M16" s="32"/>
    </row>
    <row r="17" spans="2:13">
      <c r="B17" s="32"/>
      <c r="C17" s="32"/>
      <c r="D17" s="32"/>
      <c r="E17" s="32"/>
      <c r="F17" s="32"/>
      <c r="G17" s="32"/>
      <c r="H17" s="32"/>
      <c r="I17" s="32"/>
      <c r="J17" s="32"/>
      <c r="K17" s="32"/>
      <c r="L17" s="32"/>
      <c r="M17" s="32"/>
    </row>
    <row r="18" spans="2:13">
      <c r="B18" s="32"/>
      <c r="C18" s="32"/>
      <c r="D18" s="32"/>
      <c r="E18" s="32"/>
      <c r="F18" s="32"/>
      <c r="G18" s="32"/>
      <c r="H18" s="32"/>
      <c r="I18" s="32"/>
      <c r="J18" s="32"/>
      <c r="K18" s="32"/>
      <c r="L18" s="32"/>
      <c r="M18" s="32"/>
    </row>
    <row r="19" spans="2:13">
      <c r="B19" s="32"/>
      <c r="C19" s="32"/>
      <c r="D19" s="32"/>
      <c r="E19" s="32"/>
      <c r="F19" s="32"/>
      <c r="G19" s="32"/>
      <c r="H19" s="32"/>
      <c r="I19" s="32"/>
      <c r="J19" s="32"/>
      <c r="K19" s="32"/>
      <c r="L19" s="32"/>
      <c r="M19" s="32"/>
    </row>
    <row r="20" spans="2:13">
      <c r="B20" s="32"/>
      <c r="C20" s="32"/>
      <c r="D20" s="32"/>
      <c r="E20" s="32"/>
      <c r="F20" s="32"/>
      <c r="G20" s="32"/>
      <c r="H20" s="32"/>
      <c r="I20" s="32"/>
      <c r="J20" s="32"/>
      <c r="K20" s="32"/>
      <c r="L20" s="32"/>
      <c r="M20" s="32"/>
    </row>
    <row r="21" spans="2:13">
      <c r="B21" s="32"/>
      <c r="C21" s="32"/>
      <c r="D21" s="32"/>
      <c r="E21" s="32"/>
      <c r="F21" s="32"/>
      <c r="G21" s="32"/>
      <c r="H21" s="32"/>
      <c r="I21" s="32"/>
      <c r="J21" s="32"/>
      <c r="K21" s="32"/>
      <c r="L21" s="32"/>
      <c r="M21" s="32"/>
    </row>
    <row r="22" spans="2:13">
      <c r="B22" s="32"/>
      <c r="C22" s="32"/>
      <c r="D22" s="32"/>
      <c r="E22" s="32"/>
      <c r="F22" s="32"/>
      <c r="G22" s="32"/>
      <c r="H22" s="32"/>
      <c r="I22" s="32"/>
      <c r="J22" s="32"/>
      <c r="K22" s="32"/>
      <c r="L22" s="32"/>
      <c r="M22" s="32"/>
    </row>
    <row r="23" spans="2:13">
      <c r="B23" s="32"/>
      <c r="C23" s="32"/>
      <c r="D23" s="32"/>
      <c r="E23" s="32"/>
      <c r="F23" s="32"/>
      <c r="G23" s="32"/>
      <c r="H23" s="32"/>
      <c r="I23" s="32"/>
      <c r="J23" s="32"/>
      <c r="K23" s="32"/>
      <c r="L23" s="32"/>
      <c r="M23" s="32"/>
    </row>
    <row r="24" spans="2:13">
      <c r="B24" s="32"/>
      <c r="C24" s="32"/>
      <c r="D24" s="32"/>
      <c r="E24" s="32"/>
      <c r="F24" s="32"/>
      <c r="G24" s="32"/>
      <c r="H24" s="32"/>
      <c r="I24" s="32"/>
      <c r="J24" s="32"/>
      <c r="K24" s="32"/>
      <c r="L24" s="32"/>
      <c r="M24" s="32"/>
    </row>
    <row r="25" spans="2:13">
      <c r="B25" s="32"/>
      <c r="C25" s="32"/>
      <c r="D25" s="32"/>
      <c r="E25" s="32"/>
      <c r="F25" s="32"/>
      <c r="G25" s="32"/>
      <c r="H25" s="32"/>
      <c r="I25" s="32"/>
      <c r="J25" s="32"/>
      <c r="K25" s="32"/>
      <c r="L25" s="32"/>
      <c r="M25" s="32"/>
    </row>
    <row r="26" spans="2:13">
      <c r="B26" s="32"/>
      <c r="C26" s="32"/>
      <c r="D26" s="32"/>
      <c r="E26" s="32"/>
      <c r="F26" s="32"/>
      <c r="G26" s="32"/>
      <c r="H26" s="32"/>
      <c r="I26" s="32"/>
      <c r="J26" s="32"/>
      <c r="K26" s="32"/>
      <c r="L26" s="32"/>
      <c r="M26" s="32"/>
    </row>
    <row r="27" spans="2:13">
      <c r="B27" s="32"/>
      <c r="C27" s="32"/>
      <c r="D27" s="32"/>
      <c r="E27" s="32"/>
      <c r="F27" s="32"/>
      <c r="G27" s="32"/>
      <c r="H27" s="32"/>
      <c r="I27" s="32"/>
      <c r="J27" s="32"/>
      <c r="K27" s="32"/>
      <c r="L27" s="32"/>
      <c r="M27" s="32"/>
    </row>
    <row r="28" spans="2:13">
      <c r="B28" s="32"/>
      <c r="C28" s="32"/>
      <c r="D28" s="32"/>
      <c r="E28" s="32"/>
      <c r="F28" s="32"/>
      <c r="G28" s="32"/>
      <c r="H28" s="32"/>
      <c r="I28" s="32"/>
      <c r="J28" s="32"/>
      <c r="K28" s="32"/>
      <c r="L28" s="32"/>
      <c r="M28" s="32"/>
    </row>
    <row r="29" spans="2:13">
      <c r="B29" s="32"/>
      <c r="C29" s="32"/>
      <c r="D29" s="32"/>
      <c r="E29" s="32"/>
      <c r="F29" s="32"/>
      <c r="G29" s="32"/>
      <c r="H29" s="32"/>
      <c r="I29" s="32"/>
      <c r="J29" s="32"/>
      <c r="K29" s="32"/>
      <c r="L29" s="32"/>
      <c r="M29" s="32"/>
    </row>
    <row r="30" spans="2:13">
      <c r="B30" s="32"/>
      <c r="C30" s="32"/>
      <c r="D30" s="32"/>
      <c r="E30" s="32"/>
      <c r="F30" s="32"/>
      <c r="G30" s="32"/>
      <c r="H30" s="32"/>
      <c r="I30" s="32"/>
      <c r="J30" s="32"/>
      <c r="K30" s="32"/>
      <c r="L30" s="32"/>
      <c r="M30" s="32"/>
    </row>
    <row r="31" spans="2:13">
      <c r="B31" s="32"/>
      <c r="C31" s="32"/>
      <c r="D31" s="32"/>
      <c r="E31" s="32"/>
      <c r="F31" s="32"/>
      <c r="G31" s="32"/>
      <c r="H31" s="32"/>
      <c r="I31" s="32"/>
      <c r="J31" s="32"/>
      <c r="K31" s="32"/>
      <c r="L31" s="32"/>
      <c r="M31" s="32"/>
    </row>
    <row r="32" spans="2:13">
      <c r="B32" s="32"/>
      <c r="C32" s="32"/>
      <c r="D32" s="32"/>
      <c r="E32" s="32"/>
      <c r="F32" s="32"/>
      <c r="G32" s="32"/>
      <c r="H32" s="32"/>
      <c r="I32" s="32"/>
      <c r="J32" s="32"/>
      <c r="K32" s="32"/>
      <c r="L32" s="32"/>
      <c r="M32" s="32"/>
    </row>
    <row r="33" spans="2:13">
      <c r="B33" s="32"/>
      <c r="C33" s="32"/>
      <c r="D33" s="32"/>
      <c r="E33" s="32"/>
      <c r="F33" s="32"/>
      <c r="G33" s="32"/>
      <c r="H33" s="32"/>
      <c r="I33" s="32"/>
      <c r="J33" s="32"/>
      <c r="K33" s="32"/>
      <c r="L33" s="32"/>
      <c r="M33" s="32"/>
    </row>
    <row r="34" spans="2:13">
      <c r="B34" s="32"/>
      <c r="C34" s="32"/>
      <c r="D34" s="32"/>
      <c r="E34" s="32"/>
      <c r="F34" s="32"/>
      <c r="G34" s="32"/>
      <c r="H34" s="32"/>
      <c r="I34" s="32"/>
      <c r="J34" s="32"/>
      <c r="K34" s="32"/>
      <c r="L34" s="32"/>
      <c r="M34" s="32"/>
    </row>
    <row r="35" spans="2:13">
      <c r="B35" s="32"/>
      <c r="C35" s="32"/>
      <c r="D35" s="32"/>
      <c r="E35" s="32"/>
      <c r="F35" s="32"/>
      <c r="G35" s="32"/>
      <c r="H35" s="32"/>
      <c r="I35" s="32"/>
      <c r="J35" s="32"/>
      <c r="K35" s="32"/>
      <c r="L35" s="32"/>
      <c r="M35" s="32"/>
    </row>
    <row r="36" spans="2:13">
      <c r="B36" s="32"/>
      <c r="C36" s="32"/>
      <c r="D36" s="32"/>
      <c r="E36" s="32"/>
      <c r="F36" s="32"/>
      <c r="G36" s="32"/>
      <c r="H36" s="32"/>
      <c r="I36" s="32"/>
      <c r="J36" s="32"/>
      <c r="K36" s="32"/>
      <c r="L36" s="32"/>
      <c r="M36" s="32"/>
    </row>
    <row r="37" spans="2:13">
      <c r="B37" s="32"/>
      <c r="C37" s="32"/>
      <c r="D37" s="32"/>
      <c r="E37" s="32"/>
      <c r="F37" s="32"/>
      <c r="G37" s="32"/>
      <c r="H37" s="32"/>
      <c r="I37" s="32"/>
      <c r="J37" s="32"/>
      <c r="K37" s="32"/>
      <c r="L37" s="32"/>
      <c r="M37" s="32"/>
    </row>
    <row r="38" spans="2:13">
      <c r="B38" s="32"/>
      <c r="C38" s="32"/>
      <c r="D38" s="32"/>
      <c r="E38" s="32"/>
      <c r="F38" s="32"/>
      <c r="G38" s="32"/>
      <c r="H38" s="32"/>
      <c r="I38" s="32"/>
      <c r="J38" s="32"/>
      <c r="K38" s="32"/>
      <c r="L38" s="32"/>
      <c r="M38" s="32"/>
    </row>
    <row r="39" spans="2:13">
      <c r="B39" s="32"/>
      <c r="C39" s="32"/>
      <c r="D39" s="32"/>
      <c r="E39" s="32"/>
      <c r="F39" s="32"/>
      <c r="G39" s="32"/>
      <c r="H39" s="32"/>
      <c r="I39" s="32"/>
      <c r="J39" s="32"/>
      <c r="K39" s="32"/>
      <c r="L39" s="32"/>
      <c r="M39" s="32"/>
    </row>
    <row r="40" spans="2:13">
      <c r="B40" s="32"/>
      <c r="C40" s="32"/>
      <c r="D40" s="32"/>
      <c r="E40" s="32"/>
      <c r="F40" s="32"/>
      <c r="G40" s="32"/>
      <c r="H40" s="32"/>
      <c r="I40" s="32"/>
      <c r="J40" s="32"/>
      <c r="K40" s="32"/>
      <c r="L40" s="32"/>
      <c r="M40" s="32"/>
    </row>
    <row r="41" spans="2:13">
      <c r="B41" s="32"/>
      <c r="C41" s="32"/>
      <c r="D41" s="32"/>
      <c r="E41" s="32"/>
      <c r="F41" s="32"/>
      <c r="G41" s="32"/>
      <c r="H41" s="32"/>
      <c r="I41" s="32"/>
      <c r="J41" s="32"/>
      <c r="K41" s="32"/>
      <c r="L41" s="32"/>
      <c r="M41" s="32"/>
    </row>
    <row r="42" spans="2:13">
      <c r="B42" s="32"/>
      <c r="C42" s="32"/>
      <c r="D42" s="32"/>
      <c r="E42" s="32"/>
      <c r="F42" s="32"/>
      <c r="G42" s="32"/>
      <c r="H42" s="32"/>
      <c r="I42" s="32"/>
      <c r="J42" s="32"/>
      <c r="K42" s="32"/>
      <c r="L42" s="32"/>
      <c r="M42" s="32"/>
    </row>
    <row r="43" spans="2:13">
      <c r="B43" s="32"/>
      <c r="C43" s="32"/>
      <c r="D43" s="32"/>
      <c r="E43" s="32"/>
      <c r="F43" s="32"/>
      <c r="G43" s="32"/>
      <c r="H43" s="32"/>
      <c r="I43" s="32"/>
      <c r="J43" s="32"/>
      <c r="K43" s="32"/>
      <c r="L43" s="32"/>
      <c r="M43" s="32"/>
    </row>
    <row r="44" spans="2:13">
      <c r="B44" s="32"/>
      <c r="C44" s="32"/>
      <c r="D44" s="32"/>
      <c r="E44" s="32"/>
      <c r="F44" s="32"/>
      <c r="G44" s="32"/>
      <c r="H44" s="32"/>
      <c r="I44" s="32"/>
      <c r="J44" s="32"/>
      <c r="K44" s="32"/>
      <c r="L44" s="32"/>
      <c r="M44" s="32"/>
    </row>
    <row r="45" spans="2:13">
      <c r="B45" s="32"/>
      <c r="C45" s="32"/>
      <c r="D45" s="32"/>
      <c r="E45" s="32"/>
      <c r="F45" s="32"/>
      <c r="G45" s="32"/>
      <c r="H45" s="32"/>
      <c r="I45" s="32"/>
      <c r="J45" s="32"/>
      <c r="K45" s="32"/>
      <c r="L45" s="32"/>
      <c r="M45" s="32"/>
    </row>
    <row r="46" spans="2:13">
      <c r="B46" s="32"/>
      <c r="C46" s="32"/>
      <c r="D46" s="32"/>
      <c r="E46" s="32"/>
      <c r="F46" s="32"/>
      <c r="G46" s="32"/>
      <c r="H46" s="32"/>
      <c r="I46" s="32"/>
      <c r="J46" s="32"/>
      <c r="K46" s="32"/>
      <c r="L46" s="32"/>
      <c r="M46" s="32"/>
    </row>
    <row r="47" spans="2:13">
      <c r="B47" s="32"/>
      <c r="C47" s="32"/>
      <c r="D47" s="32"/>
      <c r="E47" s="32"/>
      <c r="F47" s="32"/>
      <c r="G47" s="32"/>
      <c r="H47" s="32"/>
      <c r="I47" s="32"/>
      <c r="J47" s="32"/>
      <c r="K47" s="32"/>
      <c r="L47" s="32"/>
      <c r="M47" s="32"/>
    </row>
    <row r="48" spans="2:13">
      <c r="B48" s="32"/>
      <c r="C48" s="32"/>
      <c r="D48" s="32"/>
      <c r="E48" s="32"/>
      <c r="F48" s="32"/>
      <c r="G48" s="32"/>
      <c r="H48" s="32"/>
      <c r="I48" s="32"/>
      <c r="J48" s="32"/>
      <c r="K48" s="32"/>
      <c r="L48" s="32"/>
      <c r="M48" s="32"/>
    </row>
    <row r="49" spans="2:13">
      <c r="B49" s="32"/>
      <c r="C49" s="32"/>
      <c r="D49" s="32"/>
      <c r="E49" s="32"/>
      <c r="F49" s="32"/>
      <c r="G49" s="32"/>
      <c r="H49" s="32"/>
      <c r="I49" s="32"/>
      <c r="J49" s="32"/>
      <c r="K49" s="32"/>
      <c r="L49" s="32"/>
      <c r="M49" s="32"/>
    </row>
    <row r="50" spans="2:13">
      <c r="B50" s="32"/>
      <c r="C50" s="32"/>
      <c r="D50" s="32"/>
      <c r="E50" s="32"/>
      <c r="F50" s="32"/>
      <c r="G50" s="32"/>
      <c r="H50" s="32"/>
      <c r="I50" s="32"/>
      <c r="J50" s="32"/>
      <c r="K50" s="32"/>
      <c r="L50" s="32"/>
      <c r="M50" s="32"/>
    </row>
    <row r="51" spans="2:13">
      <c r="B51" s="32"/>
      <c r="C51" s="32"/>
      <c r="D51" s="32"/>
      <c r="E51" s="32"/>
      <c r="F51" s="32"/>
      <c r="G51" s="32"/>
      <c r="H51" s="32"/>
      <c r="I51" s="32"/>
      <c r="J51" s="32"/>
      <c r="K51" s="32"/>
      <c r="L51" s="32"/>
      <c r="M51" s="32"/>
    </row>
    <row r="52" spans="2:13">
      <c r="B52" s="32"/>
      <c r="C52" s="32"/>
      <c r="D52" s="32"/>
      <c r="E52" s="32"/>
      <c r="F52" s="32"/>
      <c r="G52" s="32"/>
      <c r="H52" s="32"/>
      <c r="I52" s="32"/>
      <c r="J52" s="32"/>
      <c r="K52" s="32"/>
      <c r="L52" s="32"/>
      <c r="M52" s="32"/>
    </row>
    <row r="53" spans="2:13">
      <c r="B53" s="32"/>
      <c r="C53" s="32"/>
      <c r="D53" s="32"/>
      <c r="E53" s="32"/>
      <c r="F53" s="32"/>
      <c r="G53" s="32"/>
      <c r="H53" s="32"/>
      <c r="I53" s="32"/>
      <c r="J53" s="32"/>
      <c r="K53" s="32"/>
      <c r="L53" s="32"/>
      <c r="M53" s="32"/>
    </row>
    <row r="54" spans="2:13">
      <c r="B54" s="32"/>
      <c r="C54" s="32"/>
      <c r="D54" s="32"/>
      <c r="E54" s="32"/>
      <c r="F54" s="32"/>
      <c r="G54" s="32"/>
      <c r="H54" s="32"/>
      <c r="I54" s="32"/>
      <c r="J54" s="32"/>
      <c r="K54" s="32"/>
      <c r="L54" s="32"/>
      <c r="M54" s="32"/>
    </row>
    <row r="55" spans="2:13">
      <c r="B55" s="32"/>
      <c r="C55" s="32"/>
      <c r="D55" s="32"/>
      <c r="E55" s="32"/>
      <c r="F55" s="32"/>
      <c r="G55" s="32"/>
      <c r="H55" s="32"/>
      <c r="I55" s="32"/>
      <c r="J55" s="32"/>
      <c r="K55" s="32"/>
      <c r="L55" s="32"/>
      <c r="M55" s="32"/>
    </row>
    <row r="56" spans="2:13">
      <c r="B56" s="32"/>
      <c r="C56" s="32"/>
      <c r="D56" s="32"/>
      <c r="E56" s="32"/>
      <c r="F56" s="32"/>
      <c r="G56" s="32"/>
      <c r="H56" s="32"/>
      <c r="I56" s="32"/>
      <c r="J56" s="32"/>
      <c r="K56" s="32"/>
      <c r="L56" s="32"/>
      <c r="M56" s="32"/>
    </row>
    <row r="57" spans="2:13">
      <c r="B57" s="32"/>
      <c r="C57" s="32"/>
      <c r="D57" s="32"/>
      <c r="E57" s="32"/>
      <c r="F57" s="32"/>
      <c r="G57" s="32"/>
      <c r="H57" s="32"/>
      <c r="I57" s="32"/>
      <c r="J57" s="32"/>
      <c r="K57" s="32"/>
      <c r="L57" s="32"/>
      <c r="M57" s="32"/>
    </row>
    <row r="58" spans="2:13">
      <c r="B58" s="32"/>
      <c r="C58" s="32"/>
      <c r="D58" s="32"/>
      <c r="E58" s="32"/>
      <c r="F58" s="32"/>
      <c r="G58" s="32"/>
      <c r="H58" s="32"/>
      <c r="I58" s="32"/>
      <c r="J58" s="32"/>
      <c r="K58" s="32"/>
      <c r="L58" s="32"/>
      <c r="M58" s="32"/>
    </row>
    <row r="59" spans="2:13">
      <c r="B59" s="32"/>
      <c r="C59" s="32"/>
      <c r="D59" s="32"/>
      <c r="E59" s="32"/>
      <c r="F59" s="32"/>
      <c r="G59" s="32"/>
      <c r="H59" s="32"/>
      <c r="I59" s="32"/>
      <c r="J59" s="32"/>
      <c r="K59" s="32"/>
      <c r="L59" s="32"/>
      <c r="M59" s="32"/>
    </row>
    <row r="60" spans="2:13">
      <c r="B60" s="32"/>
      <c r="C60" s="32"/>
      <c r="D60" s="32"/>
      <c r="E60" s="32"/>
      <c r="F60" s="32"/>
      <c r="G60" s="32"/>
      <c r="H60" s="32"/>
      <c r="I60" s="32"/>
      <c r="J60" s="32"/>
      <c r="K60" s="32"/>
      <c r="L60" s="32"/>
      <c r="M60" s="32"/>
    </row>
    <row r="61" spans="2:13">
      <c r="B61" s="32"/>
      <c r="C61" s="32"/>
      <c r="D61" s="32"/>
      <c r="E61" s="32"/>
      <c r="F61" s="32"/>
      <c r="G61" s="32"/>
      <c r="H61" s="32"/>
      <c r="I61" s="32"/>
      <c r="J61" s="32"/>
      <c r="K61" s="32"/>
      <c r="L61" s="32"/>
      <c r="M61" s="32"/>
    </row>
    <row r="62" spans="2:13">
      <c r="B62" s="32"/>
      <c r="C62" s="32"/>
      <c r="D62" s="32"/>
      <c r="E62" s="32"/>
      <c r="F62" s="32"/>
      <c r="G62" s="32"/>
      <c r="H62" s="32"/>
      <c r="I62" s="32"/>
      <c r="J62" s="32"/>
      <c r="K62" s="32"/>
      <c r="L62" s="32"/>
      <c r="M62" s="32"/>
    </row>
    <row r="63" spans="2:13">
      <c r="B63" s="32"/>
      <c r="C63" s="32"/>
      <c r="D63" s="32"/>
      <c r="E63" s="32"/>
      <c r="F63" s="32"/>
      <c r="G63" s="32"/>
      <c r="H63" s="32"/>
      <c r="I63" s="32"/>
      <c r="J63" s="32"/>
      <c r="K63" s="32"/>
      <c r="L63" s="32"/>
      <c r="M63" s="32"/>
    </row>
    <row r="64" spans="2:13">
      <c r="B64" s="32"/>
      <c r="C64" s="32"/>
      <c r="D64" s="32"/>
      <c r="E64" s="32"/>
      <c r="F64" s="32"/>
      <c r="G64" s="32"/>
      <c r="H64" s="32"/>
      <c r="I64" s="32"/>
      <c r="J64" s="32"/>
      <c r="K64" s="32"/>
      <c r="L64" s="32"/>
      <c r="M64" s="32"/>
    </row>
    <row r="65" spans="2:13">
      <c r="B65" s="32"/>
      <c r="C65" s="32"/>
      <c r="D65" s="32"/>
      <c r="E65" s="32"/>
      <c r="F65" s="32"/>
      <c r="G65" s="32"/>
      <c r="H65" s="32"/>
      <c r="I65" s="32"/>
      <c r="J65" s="32"/>
      <c r="K65" s="32"/>
      <c r="L65" s="32"/>
      <c r="M65" s="32"/>
    </row>
    <row r="66" spans="2:13">
      <c r="B66" s="32"/>
      <c r="C66" s="32"/>
      <c r="D66" s="32"/>
      <c r="E66" s="32"/>
      <c r="F66" s="32"/>
      <c r="G66" s="32"/>
      <c r="H66" s="32"/>
      <c r="I66" s="32"/>
      <c r="J66" s="32"/>
      <c r="K66" s="32"/>
      <c r="L66" s="32"/>
      <c r="M66" s="32"/>
    </row>
    <row r="67" spans="2:13">
      <c r="B67" s="32"/>
      <c r="C67" s="32"/>
      <c r="D67" s="32"/>
      <c r="E67" s="32"/>
      <c r="F67" s="32"/>
      <c r="G67" s="32"/>
      <c r="H67" s="32"/>
      <c r="I67" s="32"/>
      <c r="J67" s="32"/>
      <c r="K67" s="32"/>
      <c r="L67" s="32"/>
      <c r="M67" s="32"/>
    </row>
    <row r="68" spans="2:13">
      <c r="B68" s="32"/>
      <c r="C68" s="32"/>
      <c r="D68" s="32"/>
      <c r="E68" s="32"/>
      <c r="F68" s="32"/>
      <c r="G68" s="32"/>
      <c r="H68" s="32"/>
      <c r="I68" s="32"/>
      <c r="J68" s="32"/>
      <c r="K68" s="32"/>
      <c r="L68" s="32"/>
      <c r="M68" s="32"/>
    </row>
    <row r="69" spans="2:13">
      <c r="B69" s="32"/>
      <c r="C69" s="32"/>
      <c r="D69" s="32"/>
      <c r="E69" s="32"/>
      <c r="F69" s="32"/>
      <c r="G69" s="32"/>
      <c r="H69" s="32"/>
      <c r="I69" s="32"/>
      <c r="J69" s="32"/>
      <c r="K69" s="32"/>
      <c r="L69" s="32"/>
      <c r="M69" s="32"/>
    </row>
    <row r="70" spans="2:13">
      <c r="B70" s="32"/>
      <c r="C70" s="32"/>
      <c r="D70" s="32"/>
      <c r="E70" s="32"/>
      <c r="F70" s="32"/>
      <c r="G70" s="32"/>
      <c r="H70" s="32"/>
      <c r="I70" s="32"/>
      <c r="J70" s="32"/>
      <c r="K70" s="32"/>
      <c r="L70" s="32"/>
      <c r="M70" s="32"/>
    </row>
    <row r="71" spans="2:13">
      <c r="B71" s="32"/>
      <c r="C71" s="32"/>
      <c r="D71" s="32"/>
      <c r="E71" s="32"/>
      <c r="F71" s="32"/>
      <c r="G71" s="32"/>
      <c r="H71" s="32"/>
      <c r="I71" s="32"/>
      <c r="J71" s="32"/>
      <c r="K71" s="32"/>
      <c r="L71" s="32"/>
      <c r="M71" s="32"/>
    </row>
    <row r="72" spans="2:13">
      <c r="B72" s="32"/>
      <c r="C72" s="32"/>
      <c r="D72" s="32"/>
      <c r="E72" s="32"/>
      <c r="F72" s="32"/>
      <c r="G72" s="32"/>
      <c r="H72" s="32"/>
      <c r="I72" s="32"/>
      <c r="J72" s="32"/>
      <c r="K72" s="32"/>
      <c r="L72" s="32"/>
      <c r="M72" s="32"/>
    </row>
    <row r="73" spans="2:13">
      <c r="B73" s="32"/>
      <c r="C73" s="32"/>
      <c r="D73" s="32"/>
      <c r="E73" s="32"/>
      <c r="F73" s="32"/>
      <c r="G73" s="32"/>
      <c r="H73" s="32"/>
      <c r="I73" s="32"/>
      <c r="J73" s="32"/>
      <c r="K73" s="32"/>
      <c r="L73" s="32"/>
      <c r="M73" s="32"/>
    </row>
    <row r="74" spans="2:13">
      <c r="B74" s="32"/>
      <c r="C74" s="32"/>
      <c r="D74" s="32"/>
      <c r="E74" s="32"/>
      <c r="F74" s="32"/>
      <c r="G74" s="32"/>
      <c r="H74" s="32"/>
      <c r="I74" s="32"/>
      <c r="J74" s="32"/>
      <c r="K74" s="32"/>
      <c r="L74" s="32"/>
      <c r="M74" s="32"/>
    </row>
    <row r="75" spans="2:13">
      <c r="B75" s="32"/>
      <c r="C75" s="32"/>
      <c r="D75" s="32"/>
      <c r="E75" s="32"/>
      <c r="F75" s="32"/>
      <c r="G75" s="32"/>
      <c r="H75" s="32"/>
      <c r="I75" s="32"/>
      <c r="J75" s="32"/>
      <c r="K75" s="32"/>
      <c r="L75" s="32"/>
      <c r="M75" s="32"/>
    </row>
    <row r="76" spans="2:13">
      <c r="B76" s="32"/>
      <c r="C76" s="32"/>
      <c r="D76" s="32"/>
      <c r="E76" s="32"/>
      <c r="F76" s="32"/>
      <c r="G76" s="32"/>
      <c r="H76" s="32"/>
      <c r="I76" s="32"/>
      <c r="J76" s="32"/>
      <c r="K76" s="32"/>
      <c r="L76" s="32"/>
      <c r="M76" s="32"/>
    </row>
    <row r="77" spans="2:13">
      <c r="B77" s="32"/>
      <c r="C77" s="32"/>
      <c r="D77" s="32"/>
      <c r="E77" s="32"/>
      <c r="F77" s="32"/>
      <c r="G77" s="32"/>
      <c r="H77" s="32"/>
      <c r="I77" s="32"/>
      <c r="J77" s="32"/>
      <c r="K77" s="32"/>
      <c r="L77" s="32"/>
      <c r="M77" s="32"/>
    </row>
    <row r="78" spans="2:13">
      <c r="B78" s="32"/>
      <c r="C78" s="32"/>
      <c r="D78" s="32"/>
      <c r="E78" s="32"/>
      <c r="F78" s="32"/>
      <c r="G78" s="32"/>
      <c r="H78" s="32"/>
      <c r="I78" s="32"/>
      <c r="J78" s="32"/>
      <c r="K78" s="32"/>
      <c r="L78" s="32"/>
      <c r="M78" s="32"/>
    </row>
    <row r="79" spans="2:13">
      <c r="B79" s="32"/>
      <c r="C79" s="32"/>
      <c r="D79" s="32"/>
      <c r="E79" s="32"/>
      <c r="F79" s="32"/>
      <c r="G79" s="32"/>
      <c r="H79" s="32"/>
      <c r="I79" s="32"/>
      <c r="J79" s="32"/>
      <c r="K79" s="32"/>
      <c r="L79" s="32"/>
      <c r="M79" s="32"/>
    </row>
    <row r="80" spans="2:13">
      <c r="B80" s="32"/>
      <c r="C80" s="32"/>
      <c r="D80" s="32"/>
      <c r="E80" s="32"/>
      <c r="F80" s="32"/>
      <c r="G80" s="32"/>
      <c r="H80" s="32"/>
      <c r="I80" s="32"/>
      <c r="J80" s="32"/>
      <c r="K80" s="32"/>
      <c r="L80" s="32"/>
      <c r="M80" s="32"/>
    </row>
    <row r="81" spans="2:13">
      <c r="B81" s="32"/>
      <c r="C81" s="32"/>
      <c r="D81" s="32"/>
      <c r="E81" s="32"/>
      <c r="F81" s="32"/>
      <c r="G81" s="32"/>
      <c r="H81" s="32"/>
      <c r="I81" s="32"/>
      <c r="J81" s="32"/>
      <c r="K81" s="32"/>
      <c r="L81" s="32"/>
      <c r="M81" s="32"/>
    </row>
    <row r="82" spans="2:13">
      <c r="B82" s="32"/>
      <c r="C82" s="32"/>
      <c r="D82" s="32"/>
      <c r="E82" s="32"/>
      <c r="F82" s="32"/>
      <c r="G82" s="32"/>
      <c r="H82" s="32"/>
      <c r="I82" s="32"/>
      <c r="J82" s="32"/>
      <c r="K82" s="32"/>
      <c r="L82" s="32"/>
      <c r="M82" s="32"/>
    </row>
    <row r="83" spans="2:13">
      <c r="B83" s="32"/>
      <c r="C83" s="32"/>
      <c r="D83" s="32"/>
      <c r="E83" s="32"/>
      <c r="F83" s="32"/>
      <c r="G83" s="32"/>
      <c r="H83" s="32"/>
      <c r="I83" s="32"/>
      <c r="J83" s="32"/>
      <c r="K83" s="32"/>
      <c r="L83" s="32"/>
      <c r="M83" s="32"/>
    </row>
    <row r="84" spans="2:13">
      <c r="B84" s="32"/>
      <c r="C84" s="32"/>
      <c r="D84" s="32"/>
      <c r="E84" s="32"/>
      <c r="F84" s="32"/>
      <c r="G84" s="32"/>
      <c r="H84" s="32"/>
      <c r="I84" s="32"/>
      <c r="J84" s="32"/>
      <c r="K84" s="32"/>
      <c r="L84" s="32"/>
      <c r="M84" s="32"/>
    </row>
    <row r="85" spans="2:13">
      <c r="B85" s="32"/>
      <c r="C85" s="32"/>
      <c r="D85" s="32"/>
      <c r="E85" s="32"/>
      <c r="F85" s="32"/>
      <c r="G85" s="32"/>
      <c r="H85" s="32"/>
      <c r="I85" s="32"/>
      <c r="J85" s="32"/>
      <c r="K85" s="32"/>
      <c r="L85" s="32"/>
      <c r="M85" s="32"/>
    </row>
    <row r="86" spans="2:13">
      <c r="B86" s="32"/>
      <c r="C86" s="32"/>
      <c r="D86" s="32"/>
      <c r="E86" s="32"/>
      <c r="F86" s="32"/>
      <c r="G86" s="32"/>
      <c r="H86" s="32"/>
      <c r="I86" s="32"/>
      <c r="J86" s="32"/>
      <c r="K86" s="32"/>
      <c r="L86" s="32"/>
      <c r="M86" s="32"/>
    </row>
    <row r="87" spans="2:13">
      <c r="B87" s="32"/>
      <c r="C87" s="32"/>
      <c r="D87" s="32"/>
      <c r="E87" s="32"/>
      <c r="F87" s="32"/>
      <c r="G87" s="32"/>
      <c r="H87" s="32"/>
      <c r="I87" s="32"/>
      <c r="J87" s="32"/>
      <c r="K87" s="32"/>
      <c r="L87" s="32"/>
      <c r="M87" s="32"/>
    </row>
    <row r="88" spans="2:13">
      <c r="B88" s="32"/>
      <c r="C88" s="32"/>
      <c r="D88" s="32"/>
      <c r="E88" s="32"/>
      <c r="F88" s="32"/>
      <c r="G88" s="32"/>
      <c r="H88" s="32"/>
      <c r="I88" s="32"/>
      <c r="J88" s="32"/>
      <c r="K88" s="32"/>
      <c r="L88" s="32"/>
      <c r="M88" s="32"/>
    </row>
    <row r="89" spans="2:13">
      <c r="B89" s="32"/>
      <c r="C89" s="32"/>
      <c r="D89" s="32"/>
      <c r="E89" s="32"/>
      <c r="F89" s="32"/>
      <c r="G89" s="32"/>
      <c r="H89" s="32"/>
      <c r="I89" s="32"/>
      <c r="J89" s="32"/>
      <c r="K89" s="32"/>
      <c r="L89" s="32"/>
      <c r="M89" s="32"/>
    </row>
    <row r="90" spans="2:13">
      <c r="B90" s="32"/>
      <c r="C90" s="32"/>
      <c r="D90" s="32"/>
      <c r="E90" s="32"/>
      <c r="F90" s="32"/>
      <c r="G90" s="32"/>
      <c r="H90" s="32"/>
      <c r="I90" s="32"/>
      <c r="J90" s="32"/>
      <c r="K90" s="32"/>
      <c r="L90" s="32"/>
      <c r="M90" s="32"/>
    </row>
    <row r="91" spans="2:13">
      <c r="B91" s="32"/>
      <c r="C91" s="32"/>
      <c r="D91" s="32"/>
      <c r="E91" s="32"/>
      <c r="F91" s="32"/>
      <c r="G91" s="32"/>
      <c r="H91" s="32"/>
      <c r="I91" s="32"/>
      <c r="J91" s="32"/>
      <c r="K91" s="32"/>
      <c r="L91" s="32"/>
      <c r="M91" s="32"/>
    </row>
    <row r="92" spans="2:13">
      <c r="B92" s="32"/>
      <c r="C92" s="32"/>
      <c r="D92" s="32"/>
      <c r="E92" s="32"/>
      <c r="F92" s="32"/>
      <c r="G92" s="32"/>
      <c r="H92" s="32"/>
      <c r="I92" s="32"/>
      <c r="J92" s="32"/>
      <c r="K92" s="32"/>
      <c r="L92" s="32"/>
      <c r="M92" s="32"/>
    </row>
    <row r="93" spans="2:13">
      <c r="B93" s="32"/>
      <c r="C93" s="32"/>
      <c r="D93" s="32"/>
      <c r="E93" s="32"/>
      <c r="F93" s="32"/>
      <c r="G93" s="32"/>
      <c r="H93" s="32"/>
      <c r="I93" s="32"/>
      <c r="J93" s="32"/>
      <c r="K93" s="32"/>
      <c r="L93" s="32"/>
      <c r="M93" s="32"/>
    </row>
    <row r="94" spans="2:13">
      <c r="B94" s="32"/>
      <c r="C94" s="32"/>
      <c r="D94" s="32"/>
      <c r="E94" s="32"/>
      <c r="F94" s="32"/>
      <c r="G94" s="32"/>
      <c r="H94" s="32"/>
      <c r="I94" s="32"/>
      <c r="J94" s="32"/>
      <c r="K94" s="32"/>
      <c r="L94" s="32"/>
      <c r="M94" s="32"/>
    </row>
    <row r="95" spans="2:13">
      <c r="B95" s="32"/>
      <c r="C95" s="32"/>
      <c r="D95" s="32"/>
      <c r="E95" s="32"/>
      <c r="F95" s="32"/>
      <c r="G95" s="32"/>
      <c r="H95" s="32"/>
      <c r="I95" s="32"/>
      <c r="J95" s="32"/>
      <c r="K95" s="32"/>
      <c r="L95" s="32"/>
      <c r="M95" s="32"/>
    </row>
    <row r="96" spans="2:13">
      <c r="B96" s="32"/>
      <c r="C96" s="32"/>
      <c r="D96" s="32"/>
      <c r="E96" s="32"/>
      <c r="F96" s="32"/>
      <c r="G96" s="32"/>
      <c r="H96" s="32"/>
      <c r="I96" s="32"/>
      <c r="J96" s="32"/>
      <c r="K96" s="32"/>
      <c r="L96" s="32"/>
      <c r="M96" s="32"/>
    </row>
    <row r="97" spans="2:13">
      <c r="B97" s="32"/>
      <c r="C97" s="32"/>
      <c r="D97" s="32"/>
      <c r="E97" s="32"/>
      <c r="F97" s="32"/>
      <c r="G97" s="32"/>
      <c r="H97" s="32"/>
      <c r="I97" s="32"/>
      <c r="J97" s="32"/>
      <c r="K97" s="32"/>
      <c r="L97" s="32"/>
      <c r="M97" s="32"/>
    </row>
  </sheetData>
  <sheetProtection algorithmName="SHA-512" hashValue="gJd0lSEAzLLFn5uQ0ETB0hDiGCUQXFZgfCByNl8zrVeUeILwsaeAhw+84EdF82gfkgJf4G47eWt+dw6E7dWg/A==" saltValue="5ORXA4JGGZAPTlH6+BIDOw==" spinCount="100000" sheet="1" objects="1" scenarios="1" selectLockedCells="1" selectUnlockedCells="1"/>
  <mergeCells count="8">
    <mergeCell ref="B11:M11"/>
    <mergeCell ref="B12:M12"/>
    <mergeCell ref="B3:AE4"/>
    <mergeCell ref="B6:M6"/>
    <mergeCell ref="B7:M7"/>
    <mergeCell ref="B8:M8"/>
    <mergeCell ref="B9:M9"/>
    <mergeCell ref="B10:M10"/>
  </mergeCells>
  <pageMargins left="0.7" right="0.7" top="0.75" bottom="0.75" header="0.3" footer="0.3"/>
  <pageSetup paperSize="9" orientation="portrait"/>
  <headerFooter scaleWithDoc="1" alignWithMargins="0" differentFirst="0" differentOddEven="0"/>
  <drawing r:id="rId2"/>
  <extLst/>
</worksheet>
</file>

<file path=xl/worksheets/sheet4.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3:S133"/>
  <sheetViews>
    <sheetView showRowColHeaders="0" view="normal" workbookViewId="0">
      <selection pane="topLeft" activeCell="B50" sqref="B50:M50"/>
    </sheetView>
  </sheetViews>
  <sheetFormatPr defaultColWidth="9.140625" defaultRowHeight="15"/>
  <cols>
    <col min="1" max="2" width="9.140625" style="140" customWidth="1"/>
    <col min="3" max="3" width="10.84765625" style="140" customWidth="1"/>
    <col min="4" max="12" width="9.140625" style="140" customWidth="1"/>
    <col min="13" max="13" width="11.140625" style="140" customWidth="1"/>
    <col min="14" max="14" width="2" style="140" customWidth="1"/>
    <col min="15" max="16384" width="9.140625" style="140" customWidth="1"/>
  </cols>
  <sheetData>
    <row r="3" spans="2:14" ht="12.75" customHeight="1">
      <c r="B3" s="232" t="s">
        <v>146</v>
      </c>
      <c r="C3" s="233"/>
      <c r="D3" s="233"/>
      <c r="E3" s="233"/>
      <c r="F3" s="233"/>
      <c r="G3" s="233"/>
      <c r="H3" s="233"/>
      <c r="I3" s="233"/>
      <c r="J3" s="233"/>
      <c r="K3" s="233"/>
      <c r="L3" s="233"/>
      <c r="M3" s="233"/>
      <c r="N3" s="234"/>
    </row>
    <row r="4" spans="2:14" ht="9.75" customHeight="1">
      <c r="B4" s="232"/>
      <c r="C4" s="233"/>
      <c r="D4" s="233"/>
      <c r="E4" s="233"/>
      <c r="F4" s="233"/>
      <c r="G4" s="233"/>
      <c r="H4" s="233"/>
      <c r="I4" s="233"/>
      <c r="J4" s="233"/>
      <c r="K4" s="233"/>
      <c r="L4" s="233"/>
      <c r="M4" s="233"/>
      <c r="N4" s="234"/>
    </row>
    <row r="5" spans="2:14" ht="15.75" customHeight="1" thickBot="1">
      <c r="B5" s="232"/>
      <c r="C5" s="233"/>
      <c r="D5" s="233"/>
      <c r="E5" s="233"/>
      <c r="F5" s="233"/>
      <c r="G5" s="233"/>
      <c r="H5" s="233"/>
      <c r="I5" s="233"/>
      <c r="J5" s="233"/>
      <c r="K5" s="233"/>
      <c r="L5" s="233"/>
      <c r="M5" s="233"/>
      <c r="N5" s="234"/>
    </row>
    <row r="6" spans="2:14" ht="15.75" thickTop="1">
      <c r="B6" s="208"/>
      <c r="C6" s="209"/>
      <c r="D6" s="209"/>
      <c r="E6" s="209"/>
      <c r="F6" s="209"/>
      <c r="G6" s="209"/>
      <c r="H6" s="209"/>
      <c r="I6" s="209"/>
      <c r="J6" s="209"/>
      <c r="K6" s="209"/>
      <c r="L6" s="209"/>
      <c r="M6" s="209"/>
      <c r="N6" s="210"/>
    </row>
    <row r="7" spans="1:14">
      <c r="A7" s="141"/>
      <c r="B7" s="244" t="s">
        <v>147</v>
      </c>
      <c r="C7" s="245"/>
      <c r="D7" s="245"/>
      <c r="E7" s="245"/>
      <c r="F7" s="245"/>
      <c r="G7" s="245"/>
      <c r="H7" s="245"/>
      <c r="I7" s="245"/>
      <c r="J7" s="245"/>
      <c r="K7" s="245"/>
      <c r="L7" s="245"/>
      <c r="M7" s="245"/>
      <c r="N7" s="125"/>
    </row>
    <row r="8" spans="2:14">
      <c r="B8" s="211"/>
      <c r="C8" s="212"/>
      <c r="D8" s="212"/>
      <c r="E8" s="212"/>
      <c r="F8" s="212"/>
      <c r="G8" s="212"/>
      <c r="H8" s="212"/>
      <c r="I8" s="212"/>
      <c r="J8" s="212"/>
      <c r="K8" s="212"/>
      <c r="L8" s="212"/>
      <c r="M8" s="212"/>
      <c r="N8" s="125"/>
    </row>
    <row r="9" spans="2:14">
      <c r="B9" s="211"/>
      <c r="C9" s="212"/>
      <c r="D9" s="212"/>
      <c r="E9" s="212"/>
      <c r="F9" s="212"/>
      <c r="G9" s="212"/>
      <c r="H9" s="212"/>
      <c r="I9" s="212"/>
      <c r="J9" s="212"/>
      <c r="K9" s="212"/>
      <c r="L9" s="212"/>
      <c r="M9" s="212"/>
      <c r="N9" s="125"/>
    </row>
    <row r="10" spans="2:14">
      <c r="B10" s="211"/>
      <c r="C10" s="212"/>
      <c r="D10" s="212"/>
      <c r="E10" s="212"/>
      <c r="F10" s="212"/>
      <c r="G10" s="212"/>
      <c r="H10" s="212"/>
      <c r="I10" s="212"/>
      <c r="J10" s="212"/>
      <c r="K10" s="212"/>
      <c r="L10" s="212"/>
      <c r="M10" s="212"/>
      <c r="N10" s="125"/>
    </row>
    <row r="11" spans="2:14">
      <c r="B11" s="211"/>
      <c r="C11" s="212"/>
      <c r="D11" s="212"/>
      <c r="E11" s="212"/>
      <c r="F11" s="212"/>
      <c r="G11" s="212"/>
      <c r="H11" s="212"/>
      <c r="I11" s="212"/>
      <c r="J11" s="212"/>
      <c r="K11" s="212"/>
      <c r="L11" s="212"/>
      <c r="M11" s="212"/>
      <c r="N11" s="125"/>
    </row>
    <row r="12" spans="2:14">
      <c r="B12" s="211"/>
      <c r="C12" s="212"/>
      <c r="D12" s="212"/>
      <c r="E12" s="212"/>
      <c r="F12" s="212"/>
      <c r="G12" s="212"/>
      <c r="H12" s="212"/>
      <c r="I12" s="212"/>
      <c r="J12" s="212"/>
      <c r="K12" s="212"/>
      <c r="L12" s="212"/>
      <c r="M12" s="212"/>
      <c r="N12" s="125"/>
    </row>
    <row r="13" spans="2:14">
      <c r="B13" s="211"/>
      <c r="C13" s="212"/>
      <c r="D13" s="212"/>
      <c r="E13" s="212"/>
      <c r="F13" s="212"/>
      <c r="G13" s="212"/>
      <c r="H13" s="212"/>
      <c r="I13" s="212"/>
      <c r="J13" s="212"/>
      <c r="K13" s="212"/>
      <c r="L13" s="212"/>
      <c r="M13" s="212"/>
      <c r="N13" s="125"/>
    </row>
    <row r="14" spans="2:14">
      <c r="B14" s="211"/>
      <c r="C14" s="212"/>
      <c r="D14" s="212"/>
      <c r="E14" s="212"/>
      <c r="F14" s="212"/>
      <c r="G14" s="212"/>
      <c r="H14" s="212"/>
      <c r="I14" s="212"/>
      <c r="J14" s="212"/>
      <c r="K14" s="212"/>
      <c r="L14" s="212"/>
      <c r="M14" s="212"/>
      <c r="N14" s="125"/>
    </row>
    <row r="15" spans="2:14">
      <c r="B15" s="211"/>
      <c r="C15" s="212"/>
      <c r="D15" s="212"/>
      <c r="E15" s="212"/>
      <c r="F15" s="212"/>
      <c r="G15" s="212"/>
      <c r="H15" s="212"/>
      <c r="I15" s="212"/>
      <c r="J15" s="212"/>
      <c r="K15" s="212"/>
      <c r="L15" s="212"/>
      <c r="M15" s="212"/>
      <c r="N15" s="125"/>
    </row>
    <row r="16" spans="2:14">
      <c r="B16" s="211"/>
      <c r="C16" s="212"/>
      <c r="D16" s="212"/>
      <c r="E16" s="212"/>
      <c r="F16" s="212"/>
      <c r="G16" s="212"/>
      <c r="H16" s="212"/>
      <c r="I16" s="212"/>
      <c r="J16" s="212"/>
      <c r="K16" s="212"/>
      <c r="L16" s="212"/>
      <c r="M16" s="212"/>
      <c r="N16" s="125"/>
    </row>
    <row r="17" spans="2:14">
      <c r="B17" s="211"/>
      <c r="C17" s="212"/>
      <c r="D17" s="212"/>
      <c r="E17" s="212"/>
      <c r="F17" s="212"/>
      <c r="G17" s="212"/>
      <c r="H17" s="212"/>
      <c r="I17" s="212"/>
      <c r="J17" s="212"/>
      <c r="K17" s="212"/>
      <c r="L17" s="212"/>
      <c r="M17" s="212"/>
      <c r="N17" s="125"/>
    </row>
    <row r="18" spans="2:14">
      <c r="B18" s="211"/>
      <c r="C18" s="212"/>
      <c r="D18" s="212"/>
      <c r="E18" s="212"/>
      <c r="F18" s="212"/>
      <c r="G18" s="212"/>
      <c r="H18" s="212"/>
      <c r="I18" s="212"/>
      <c r="J18" s="212"/>
      <c r="K18" s="212"/>
      <c r="L18" s="212"/>
      <c r="M18" s="212"/>
      <c r="N18" s="125"/>
    </row>
    <row r="19" spans="2:14">
      <c r="B19" s="211"/>
      <c r="C19" s="212"/>
      <c r="D19" s="212"/>
      <c r="E19" s="212"/>
      <c r="F19" s="212"/>
      <c r="G19" s="212"/>
      <c r="H19" s="212"/>
      <c r="I19" s="212"/>
      <c r="J19" s="212"/>
      <c r="K19" s="212"/>
      <c r="L19" s="212"/>
      <c r="M19" s="212"/>
      <c r="N19" s="125"/>
    </row>
    <row r="20" spans="1:14" ht="18">
      <c r="A20" s="141"/>
      <c r="B20" s="126" t="s">
        <v>316</v>
      </c>
      <c r="C20" s="212"/>
      <c r="D20" s="212"/>
      <c r="E20" s="212"/>
      <c r="F20" s="212"/>
      <c r="G20" s="212"/>
      <c r="H20" s="212"/>
      <c r="I20" s="212"/>
      <c r="J20" s="212"/>
      <c r="K20" s="212"/>
      <c r="L20" s="212"/>
      <c r="M20" s="212"/>
      <c r="N20" s="125"/>
    </row>
    <row r="21" spans="2:14">
      <c r="B21" s="211"/>
      <c r="C21" s="212"/>
      <c r="D21" s="212"/>
      <c r="E21" s="212"/>
      <c r="F21" s="212"/>
      <c r="G21" s="212"/>
      <c r="H21" s="212"/>
      <c r="I21" s="212"/>
      <c r="J21" s="212"/>
      <c r="K21" s="212"/>
      <c r="L21" s="212"/>
      <c r="M21" s="212"/>
      <c r="N21" s="125"/>
    </row>
    <row r="22" spans="2:14">
      <c r="B22" s="211"/>
      <c r="C22" s="131" t="s">
        <v>149</v>
      </c>
      <c r="D22" s="212"/>
      <c r="E22" s="212"/>
      <c r="F22" s="212"/>
      <c r="G22" s="212"/>
      <c r="H22" s="212"/>
      <c r="I22" s="212"/>
      <c r="J22" s="212"/>
      <c r="K22" s="212"/>
      <c r="L22" s="212"/>
      <c r="M22" s="212"/>
      <c r="N22" s="125"/>
    </row>
    <row r="23" spans="2:14">
      <c r="B23" s="211"/>
      <c r="C23" s="213"/>
      <c r="D23" s="214" t="s">
        <v>150</v>
      </c>
      <c r="E23" s="212"/>
      <c r="F23" s="212"/>
      <c r="G23" s="212"/>
      <c r="H23" s="212"/>
      <c r="I23" s="212"/>
      <c r="J23" s="212"/>
      <c r="K23" s="212"/>
      <c r="L23" s="212"/>
      <c r="M23" s="212"/>
      <c r="N23" s="125"/>
    </row>
    <row r="24" spans="2:14">
      <c r="B24" s="211"/>
      <c r="C24" s="215"/>
      <c r="D24" s="214" t="s">
        <v>151</v>
      </c>
      <c r="E24" s="212"/>
      <c r="F24" s="212"/>
      <c r="G24" s="212"/>
      <c r="H24" s="212"/>
      <c r="I24" s="212"/>
      <c r="J24" s="212"/>
      <c r="K24" s="212"/>
      <c r="L24" s="212"/>
      <c r="M24" s="212"/>
      <c r="N24" s="125"/>
    </row>
    <row r="25" spans="2:19" ht="16.5">
      <c r="B25" s="211"/>
      <c r="C25" s="216"/>
      <c r="D25" s="214" t="s">
        <v>152</v>
      </c>
      <c r="E25" s="212"/>
      <c r="F25" s="212"/>
      <c r="G25" s="212"/>
      <c r="H25" s="212"/>
      <c r="I25" s="212"/>
      <c r="J25" s="212"/>
      <c r="K25" s="212"/>
      <c r="L25" s="212"/>
      <c r="M25" s="212"/>
      <c r="N25" s="125"/>
      <c r="S25" s="217"/>
    </row>
    <row r="26" spans="2:19" ht="16.5">
      <c r="B26" s="211"/>
      <c r="C26" s="212"/>
      <c r="D26" s="212"/>
      <c r="E26" s="212"/>
      <c r="F26" s="212"/>
      <c r="G26" s="212"/>
      <c r="H26" s="212"/>
      <c r="I26" s="212"/>
      <c r="J26" s="212"/>
      <c r="K26" s="212"/>
      <c r="L26" s="212"/>
      <c r="M26" s="212"/>
      <c r="N26" s="125"/>
      <c r="S26" s="218"/>
    </row>
    <row r="27" spans="1:19" ht="16.5">
      <c r="A27" s="141"/>
      <c r="B27" s="244" t="s">
        <v>154</v>
      </c>
      <c r="C27" s="245"/>
      <c r="D27" s="245"/>
      <c r="E27" s="245"/>
      <c r="F27" s="245"/>
      <c r="G27" s="245"/>
      <c r="H27" s="245"/>
      <c r="I27" s="245"/>
      <c r="J27" s="245"/>
      <c r="K27" s="245"/>
      <c r="L27" s="245"/>
      <c r="M27" s="245"/>
      <c r="N27" s="125"/>
      <c r="S27" s="217"/>
    </row>
    <row r="28" spans="2:19" ht="9.75" customHeight="1">
      <c r="B28" s="211"/>
      <c r="C28" s="212"/>
      <c r="D28" s="212"/>
      <c r="E28" s="212"/>
      <c r="F28" s="212"/>
      <c r="G28" s="212"/>
      <c r="H28" s="212"/>
      <c r="I28" s="212"/>
      <c r="J28" s="212"/>
      <c r="K28" s="212"/>
      <c r="L28" s="212"/>
      <c r="M28" s="212"/>
      <c r="N28" s="125"/>
      <c r="S28" s="217"/>
    </row>
    <row r="29" spans="2:14">
      <c r="B29" s="211"/>
      <c r="C29" s="212"/>
      <c r="D29" s="212"/>
      <c r="E29" s="212"/>
      <c r="F29" s="212"/>
      <c r="G29" s="212"/>
      <c r="H29" s="212"/>
      <c r="I29" s="212"/>
      <c r="J29" s="212"/>
      <c r="K29" s="212"/>
      <c r="L29" s="212"/>
      <c r="M29" s="212"/>
      <c r="N29" s="125"/>
    </row>
    <row r="30" spans="2:14">
      <c r="B30" s="211"/>
      <c r="C30" s="212"/>
      <c r="D30" s="212"/>
      <c r="E30" s="212"/>
      <c r="F30" s="212"/>
      <c r="G30" s="212"/>
      <c r="H30" s="212"/>
      <c r="I30" s="212"/>
      <c r="J30" s="212"/>
      <c r="K30" s="212"/>
      <c r="L30" s="212"/>
      <c r="M30" s="212"/>
      <c r="N30" s="125"/>
    </row>
    <row r="31" spans="2:14">
      <c r="B31" s="211"/>
      <c r="C31" s="212"/>
      <c r="D31" s="212"/>
      <c r="E31" s="212"/>
      <c r="F31" s="212"/>
      <c r="G31" s="212"/>
      <c r="H31" s="212"/>
      <c r="I31" s="212"/>
      <c r="J31" s="212"/>
      <c r="K31" s="212"/>
      <c r="L31" s="212"/>
      <c r="M31" s="212"/>
      <c r="N31" s="125"/>
    </row>
    <row r="32" spans="2:14">
      <c r="B32" s="211"/>
      <c r="C32" s="212"/>
      <c r="D32" s="212"/>
      <c r="E32" s="212"/>
      <c r="F32" s="212"/>
      <c r="G32" s="212"/>
      <c r="H32" s="212"/>
      <c r="I32" s="212"/>
      <c r="J32" s="212"/>
      <c r="K32" s="212"/>
      <c r="L32" s="212"/>
      <c r="M32" s="212"/>
      <c r="N32" s="125"/>
    </row>
    <row r="33" spans="2:14">
      <c r="B33" s="211"/>
      <c r="C33" s="212"/>
      <c r="D33" s="212"/>
      <c r="E33" s="212"/>
      <c r="F33" s="212"/>
      <c r="G33" s="212"/>
      <c r="H33" s="212"/>
      <c r="I33" s="212"/>
      <c r="J33" s="212"/>
      <c r="K33" s="212"/>
      <c r="L33" s="212"/>
      <c r="M33" s="212"/>
      <c r="N33" s="125"/>
    </row>
    <row r="34" spans="2:14">
      <c r="B34" s="211"/>
      <c r="C34" s="212"/>
      <c r="D34" s="212"/>
      <c r="E34" s="212"/>
      <c r="F34" s="212"/>
      <c r="G34" s="212"/>
      <c r="H34" s="212"/>
      <c r="I34" s="212"/>
      <c r="J34" s="212"/>
      <c r="K34" s="212"/>
      <c r="L34" s="212"/>
      <c r="M34" s="212"/>
      <c r="N34" s="125"/>
    </row>
    <row r="35" spans="2:14">
      <c r="B35" s="211"/>
      <c r="C35" s="212"/>
      <c r="D35" s="212"/>
      <c r="E35" s="212"/>
      <c r="F35" s="212"/>
      <c r="G35" s="212"/>
      <c r="H35" s="212"/>
      <c r="I35" s="212"/>
      <c r="J35" s="212"/>
      <c r="K35" s="212"/>
      <c r="L35" s="212"/>
      <c r="M35" s="212"/>
      <c r="N35" s="125"/>
    </row>
    <row r="36" spans="2:14" ht="42.75" customHeight="1">
      <c r="B36" s="211"/>
      <c r="C36" s="212"/>
      <c r="D36" s="212"/>
      <c r="E36" s="212"/>
      <c r="F36" s="212"/>
      <c r="G36" s="212"/>
      <c r="H36" s="212"/>
      <c r="I36" s="212"/>
      <c r="J36" s="212"/>
      <c r="K36" s="212"/>
      <c r="L36" s="212"/>
      <c r="M36" s="212"/>
      <c r="N36" s="125"/>
    </row>
    <row r="37" spans="1:14" ht="31.5" customHeight="1">
      <c r="A37" s="141"/>
      <c r="B37" s="246" t="s">
        <v>153</v>
      </c>
      <c r="C37" s="246"/>
      <c r="D37" s="246"/>
      <c r="E37" s="246"/>
      <c r="F37" s="246"/>
      <c r="G37" s="246"/>
      <c r="H37" s="246"/>
      <c r="I37" s="246"/>
      <c r="J37" s="246"/>
      <c r="K37" s="246"/>
      <c r="L37" s="246"/>
      <c r="M37" s="246"/>
      <c r="N37" s="125"/>
    </row>
    <row r="38" spans="2:14">
      <c r="B38" s="211"/>
      <c r="C38" s="212"/>
      <c r="D38" s="212"/>
      <c r="E38" s="212"/>
      <c r="F38" s="212"/>
      <c r="G38" s="212"/>
      <c r="H38" s="212"/>
      <c r="I38" s="212"/>
      <c r="J38" s="212"/>
      <c r="K38" s="212"/>
      <c r="L38" s="212"/>
      <c r="M38" s="212"/>
      <c r="N38" s="125"/>
    </row>
    <row r="39" spans="2:14">
      <c r="B39" s="129" t="s">
        <v>148</v>
      </c>
      <c r="C39" s="219"/>
      <c r="D39" s="219"/>
      <c r="E39" s="219"/>
      <c r="F39" s="219"/>
      <c r="G39" s="219"/>
      <c r="H39" s="219"/>
      <c r="I39" s="219"/>
      <c r="J39" s="219"/>
      <c r="K39" s="219"/>
      <c r="L39" s="219"/>
      <c r="M39" s="219"/>
      <c r="N39" s="125"/>
    </row>
    <row r="40" spans="1:14" ht="72" customHeight="1">
      <c r="A40" s="141"/>
      <c r="B40" s="246" t="s">
        <v>215</v>
      </c>
      <c r="C40" s="246"/>
      <c r="D40" s="246"/>
      <c r="E40" s="246"/>
      <c r="F40" s="246"/>
      <c r="G40" s="246"/>
      <c r="H40" s="246"/>
      <c r="I40" s="246"/>
      <c r="J40" s="246"/>
      <c r="K40" s="246"/>
      <c r="L40" s="246"/>
      <c r="M40" s="246"/>
      <c r="N40" s="125"/>
    </row>
    <row r="41" spans="1:14" ht="12.75" customHeight="1">
      <c r="A41" s="141"/>
      <c r="B41" s="219"/>
      <c r="C41" s="219"/>
      <c r="D41" s="219"/>
      <c r="E41" s="219"/>
      <c r="F41" s="219"/>
      <c r="G41" s="219"/>
      <c r="H41" s="219"/>
      <c r="I41" s="219"/>
      <c r="J41" s="219"/>
      <c r="K41" s="219"/>
      <c r="L41" s="219"/>
      <c r="M41" s="219"/>
      <c r="N41" s="125"/>
    </row>
    <row r="42" spans="1:14" ht="18">
      <c r="A42" s="141"/>
      <c r="B42" s="130" t="s">
        <v>317</v>
      </c>
      <c r="C42" s="219"/>
      <c r="D42" s="219"/>
      <c r="E42" s="219"/>
      <c r="F42" s="219"/>
      <c r="G42" s="219"/>
      <c r="H42" s="219"/>
      <c r="I42" s="219"/>
      <c r="J42" s="219"/>
      <c r="K42" s="219"/>
      <c r="L42" s="219"/>
      <c r="M42" s="219"/>
      <c r="N42" s="125"/>
    </row>
    <row r="43" spans="1:14">
      <c r="A43" s="141"/>
      <c r="B43" s="219"/>
      <c r="C43" s="219"/>
      <c r="D43" s="219"/>
      <c r="E43" s="219"/>
      <c r="F43" s="219"/>
      <c r="G43" s="219"/>
      <c r="H43" s="219"/>
      <c r="I43" s="219"/>
      <c r="J43" s="219"/>
      <c r="K43" s="219"/>
      <c r="L43" s="219"/>
      <c r="M43" s="219"/>
      <c r="N43" s="125"/>
    </row>
    <row r="44" spans="1:14">
      <c r="A44" s="141"/>
      <c r="B44" s="242" t="s">
        <v>177</v>
      </c>
      <c r="C44" s="243"/>
      <c r="D44" s="243"/>
      <c r="E44" s="243"/>
      <c r="F44" s="243"/>
      <c r="G44" s="243"/>
      <c r="H44" s="243"/>
      <c r="I44" s="243"/>
      <c r="J44" s="243"/>
      <c r="K44" s="243"/>
      <c r="L44" s="243"/>
      <c r="M44" s="243"/>
      <c r="N44" s="125"/>
    </row>
    <row r="45" spans="1:14" ht="9" customHeight="1">
      <c r="A45" s="141"/>
      <c r="B45" s="219"/>
      <c r="C45" s="219"/>
      <c r="D45" s="219"/>
      <c r="E45" s="219"/>
      <c r="F45" s="219"/>
      <c r="G45" s="219"/>
      <c r="H45" s="219"/>
      <c r="I45" s="219"/>
      <c r="J45" s="219"/>
      <c r="K45" s="219"/>
      <c r="L45" s="219"/>
      <c r="M45" s="219"/>
      <c r="N45" s="125"/>
    </row>
    <row r="46" spans="1:14">
      <c r="A46" s="141"/>
      <c r="B46" s="204" t="s">
        <v>155</v>
      </c>
      <c r="C46" s="219"/>
      <c r="D46" s="219"/>
      <c r="E46" s="219"/>
      <c r="F46" s="219"/>
      <c r="G46" s="219"/>
      <c r="H46" s="219"/>
      <c r="I46" s="219"/>
      <c r="J46" s="219"/>
      <c r="K46" s="219"/>
      <c r="L46" s="219"/>
      <c r="M46" s="219"/>
      <c r="N46" s="125"/>
    </row>
    <row r="47" spans="1:14" ht="45" customHeight="1">
      <c r="A47" s="141"/>
      <c r="B47" s="249" t="s">
        <v>156</v>
      </c>
      <c r="C47" s="249"/>
      <c r="D47" s="249"/>
      <c r="E47" s="249"/>
      <c r="F47" s="249"/>
      <c r="G47" s="249"/>
      <c r="H47" s="249"/>
      <c r="I47" s="249"/>
      <c r="J47" s="249"/>
      <c r="K47" s="249"/>
      <c r="L47" s="249"/>
      <c r="M47" s="249"/>
      <c r="N47" s="125"/>
    </row>
    <row r="48" spans="1:14" ht="43.5" customHeight="1">
      <c r="A48" s="141"/>
      <c r="B48" s="249" t="s">
        <v>318</v>
      </c>
      <c r="C48" s="249"/>
      <c r="D48" s="249"/>
      <c r="E48" s="249"/>
      <c r="F48" s="249"/>
      <c r="G48" s="249"/>
      <c r="H48" s="249"/>
      <c r="I48" s="249"/>
      <c r="J48" s="249"/>
      <c r="K48" s="249"/>
      <c r="L48" s="249"/>
      <c r="M48" s="249"/>
      <c r="N48" s="125"/>
    </row>
    <row r="49" spans="1:14" ht="15.75" customHeight="1">
      <c r="A49" s="141"/>
      <c r="B49" s="249" t="s">
        <v>319</v>
      </c>
      <c r="C49" s="249"/>
      <c r="D49" s="249"/>
      <c r="E49" s="249"/>
      <c r="F49" s="249"/>
      <c r="G49" s="249"/>
      <c r="H49" s="249"/>
      <c r="I49" s="249"/>
      <c r="J49" s="249"/>
      <c r="K49" s="249"/>
      <c r="L49" s="249"/>
      <c r="M49" s="249"/>
      <c r="N49" s="125"/>
    </row>
    <row r="50" spans="1:14" ht="90" customHeight="1">
      <c r="A50" s="141"/>
      <c r="B50" s="249" t="s">
        <v>213</v>
      </c>
      <c r="C50" s="249"/>
      <c r="D50" s="249"/>
      <c r="E50" s="249"/>
      <c r="F50" s="249"/>
      <c r="G50" s="249"/>
      <c r="H50" s="249"/>
      <c r="I50" s="249"/>
      <c r="J50" s="249"/>
      <c r="K50" s="249"/>
      <c r="L50" s="249"/>
      <c r="M50" s="249"/>
      <c r="N50" s="125"/>
    </row>
    <row r="51" spans="2:14" ht="33.75" customHeight="1">
      <c r="B51" s="247" t="s">
        <v>178</v>
      </c>
      <c r="C51" s="248"/>
      <c r="D51" s="248"/>
      <c r="E51" s="248"/>
      <c r="F51" s="248"/>
      <c r="G51" s="248"/>
      <c r="H51" s="248"/>
      <c r="I51" s="248"/>
      <c r="J51" s="248"/>
      <c r="K51" s="248"/>
      <c r="L51" s="248"/>
      <c r="M51" s="248"/>
      <c r="N51" s="125"/>
    </row>
    <row r="52" spans="2:14" ht="46.5" customHeight="1">
      <c r="B52" s="205" t="s">
        <v>157</v>
      </c>
      <c r="C52" s="220"/>
      <c r="D52" s="220"/>
      <c r="E52" s="220"/>
      <c r="F52" s="220"/>
      <c r="G52" s="220"/>
      <c r="H52" s="220"/>
      <c r="I52" s="220"/>
      <c r="J52" s="220"/>
      <c r="K52" s="220"/>
      <c r="L52" s="220"/>
      <c r="M52" s="220"/>
      <c r="N52" s="125"/>
    </row>
    <row r="53" spans="2:14" ht="61.5" customHeight="1">
      <c r="B53" s="205" t="s">
        <v>158</v>
      </c>
      <c r="C53" s="220"/>
      <c r="D53" s="220"/>
      <c r="E53" s="220"/>
      <c r="F53" s="220"/>
      <c r="G53" s="220"/>
      <c r="H53" s="220"/>
      <c r="I53" s="220"/>
      <c r="J53" s="220"/>
      <c r="K53" s="220"/>
      <c r="L53" s="220"/>
      <c r="M53" s="220"/>
      <c r="N53" s="125"/>
    </row>
    <row r="54" spans="2:14">
      <c r="B54" s="204" t="s">
        <v>159</v>
      </c>
      <c r="C54" s="219"/>
      <c r="D54" s="219"/>
      <c r="E54" s="219"/>
      <c r="F54" s="219"/>
      <c r="G54" s="219"/>
      <c r="H54" s="219"/>
      <c r="I54" s="219"/>
      <c r="J54" s="219"/>
      <c r="K54" s="219"/>
      <c r="L54" s="219"/>
      <c r="M54" s="219"/>
      <c r="N54" s="125"/>
    </row>
    <row r="55" spans="2:14">
      <c r="B55" s="204"/>
      <c r="C55" s="219"/>
      <c r="D55" s="219"/>
      <c r="E55" s="219"/>
      <c r="F55" s="219"/>
      <c r="G55" s="219"/>
      <c r="H55" s="219"/>
      <c r="I55" s="219"/>
      <c r="J55" s="219"/>
      <c r="K55" s="219"/>
      <c r="L55" s="219"/>
      <c r="M55" s="219"/>
      <c r="N55" s="125"/>
    </row>
    <row r="56" spans="2:14" ht="33" customHeight="1">
      <c r="B56" s="247" t="s">
        <v>179</v>
      </c>
      <c r="C56" s="248"/>
      <c r="D56" s="248"/>
      <c r="E56" s="248"/>
      <c r="F56" s="248"/>
      <c r="G56" s="248"/>
      <c r="H56" s="248"/>
      <c r="I56" s="248"/>
      <c r="J56" s="248"/>
      <c r="K56" s="248"/>
      <c r="L56" s="248"/>
      <c r="M56" s="248"/>
      <c r="N56" s="125"/>
    </row>
    <row r="57" spans="2:14">
      <c r="B57" s="204" t="s">
        <v>160</v>
      </c>
      <c r="C57" s="219"/>
      <c r="D57" s="219"/>
      <c r="E57" s="219"/>
      <c r="F57" s="219"/>
      <c r="G57" s="219"/>
      <c r="H57" s="219"/>
      <c r="I57" s="219"/>
      <c r="J57" s="219"/>
      <c r="K57" s="219"/>
      <c r="L57" s="219"/>
      <c r="M57" s="219"/>
      <c r="N57" s="125"/>
    </row>
    <row r="58" spans="2:14" ht="47.25" customHeight="1">
      <c r="B58" s="205" t="s">
        <v>161</v>
      </c>
      <c r="C58" s="220"/>
      <c r="D58" s="220"/>
      <c r="E58" s="220"/>
      <c r="F58" s="220"/>
      <c r="G58" s="220"/>
      <c r="H58" s="220"/>
      <c r="I58" s="220"/>
      <c r="J58" s="220"/>
      <c r="K58" s="220"/>
      <c r="L58" s="220"/>
      <c r="M58" s="220"/>
      <c r="N58" s="125"/>
    </row>
    <row r="59" spans="2:14">
      <c r="B59" s="204" t="s">
        <v>162</v>
      </c>
      <c r="C59" s="219"/>
      <c r="D59" s="219"/>
      <c r="E59" s="219"/>
      <c r="F59" s="219"/>
      <c r="G59" s="219"/>
      <c r="H59" s="219"/>
      <c r="I59" s="219"/>
      <c r="J59" s="219"/>
      <c r="K59" s="219"/>
      <c r="L59" s="219"/>
      <c r="M59" s="219"/>
      <c r="N59" s="125"/>
    </row>
    <row r="60" spans="2:14">
      <c r="B60" s="204"/>
      <c r="C60" s="219"/>
      <c r="D60" s="219"/>
      <c r="E60" s="219"/>
      <c r="F60" s="219"/>
      <c r="G60" s="219"/>
      <c r="H60" s="219"/>
      <c r="I60" s="219"/>
      <c r="J60" s="219"/>
      <c r="K60" s="219"/>
      <c r="L60" s="219"/>
      <c r="M60" s="219"/>
      <c r="N60" s="125"/>
    </row>
    <row r="61" spans="2:14" ht="33" customHeight="1">
      <c r="B61" s="247" t="s">
        <v>180</v>
      </c>
      <c r="C61" s="248"/>
      <c r="D61" s="248"/>
      <c r="E61" s="248"/>
      <c r="F61" s="248"/>
      <c r="G61" s="248"/>
      <c r="H61" s="248"/>
      <c r="I61" s="248"/>
      <c r="J61" s="248"/>
      <c r="K61" s="248"/>
      <c r="L61" s="248"/>
      <c r="M61" s="248"/>
      <c r="N61" s="125"/>
    </row>
    <row r="62" spans="2:14">
      <c r="B62" s="204" t="s">
        <v>163</v>
      </c>
      <c r="C62" s="219"/>
      <c r="D62" s="219"/>
      <c r="E62" s="219"/>
      <c r="F62" s="219"/>
      <c r="G62" s="219"/>
      <c r="H62" s="219"/>
      <c r="I62" s="219"/>
      <c r="J62" s="219"/>
      <c r="K62" s="219"/>
      <c r="L62" s="219"/>
      <c r="M62" s="219"/>
      <c r="N62" s="125"/>
    </row>
    <row r="63" spans="2:14">
      <c r="B63" s="204" t="s">
        <v>164</v>
      </c>
      <c r="C63" s="219"/>
      <c r="D63" s="219"/>
      <c r="E63" s="219"/>
      <c r="F63" s="219"/>
      <c r="G63" s="219"/>
      <c r="H63" s="219"/>
      <c r="I63" s="219"/>
      <c r="J63" s="219"/>
      <c r="K63" s="219"/>
      <c r="L63" s="219"/>
      <c r="M63" s="219"/>
      <c r="N63" s="125"/>
    </row>
    <row r="64" spans="2:14" ht="32.25" customHeight="1">
      <c r="B64" s="205" t="s">
        <v>165</v>
      </c>
      <c r="C64" s="220"/>
      <c r="D64" s="220"/>
      <c r="E64" s="220"/>
      <c r="F64" s="220"/>
      <c r="G64" s="220"/>
      <c r="H64" s="220"/>
      <c r="I64" s="220"/>
      <c r="J64" s="220"/>
      <c r="K64" s="220"/>
      <c r="L64" s="220"/>
      <c r="M64" s="220"/>
      <c r="N64" s="125"/>
    </row>
    <row r="65" spans="2:14" ht="16.5" customHeight="1">
      <c r="B65" s="205"/>
      <c r="C65" s="220"/>
      <c r="D65" s="220"/>
      <c r="E65" s="220"/>
      <c r="F65" s="220"/>
      <c r="G65" s="220"/>
      <c r="H65" s="220"/>
      <c r="I65" s="220"/>
      <c r="J65" s="220"/>
      <c r="K65" s="220"/>
      <c r="L65" s="220"/>
      <c r="M65" s="220"/>
      <c r="N65" s="125"/>
    </row>
    <row r="66" spans="2:14">
      <c r="B66" s="247" t="s">
        <v>181</v>
      </c>
      <c r="C66" s="248"/>
      <c r="D66" s="248"/>
      <c r="E66" s="248"/>
      <c r="F66" s="248"/>
      <c r="G66" s="248"/>
      <c r="H66" s="248"/>
      <c r="I66" s="248"/>
      <c r="J66" s="248"/>
      <c r="K66" s="248"/>
      <c r="L66" s="248"/>
      <c r="M66" s="248"/>
      <c r="N66" s="125"/>
    </row>
    <row r="67" spans="2:14" ht="32.25" customHeight="1">
      <c r="B67" s="205"/>
      <c r="C67" s="220"/>
      <c r="D67" s="220"/>
      <c r="E67" s="220"/>
      <c r="F67" s="220"/>
      <c r="G67" s="220"/>
      <c r="H67" s="220"/>
      <c r="I67" s="220"/>
      <c r="J67" s="220"/>
      <c r="K67" s="220"/>
      <c r="L67" s="220"/>
      <c r="M67" s="220"/>
      <c r="N67" s="125"/>
    </row>
    <row r="68" spans="2:14" ht="32.25" customHeight="1">
      <c r="B68" s="205"/>
      <c r="C68" s="220"/>
      <c r="D68" s="220"/>
      <c r="E68" s="220"/>
      <c r="F68" s="220"/>
      <c r="G68" s="220"/>
      <c r="H68" s="220"/>
      <c r="I68" s="220"/>
      <c r="J68" s="220"/>
      <c r="K68" s="220"/>
      <c r="L68" s="220"/>
      <c r="M68" s="220"/>
      <c r="N68" s="125"/>
    </row>
    <row r="69" spans="2:14" ht="32.25" customHeight="1">
      <c r="B69" s="205"/>
      <c r="C69" s="220"/>
      <c r="D69" s="220"/>
      <c r="E69" s="220"/>
      <c r="F69" s="220"/>
      <c r="G69" s="220"/>
      <c r="H69" s="220"/>
      <c r="I69" s="220"/>
      <c r="J69" s="220"/>
      <c r="K69" s="220"/>
      <c r="L69" s="220"/>
      <c r="M69" s="220"/>
      <c r="N69" s="125"/>
    </row>
    <row r="70" spans="2:14" ht="32.25" customHeight="1">
      <c r="B70" s="205"/>
      <c r="C70" s="220"/>
      <c r="D70" s="220"/>
      <c r="E70" s="220"/>
      <c r="F70" s="220"/>
      <c r="G70" s="220"/>
      <c r="H70" s="220"/>
      <c r="I70" s="220"/>
      <c r="J70" s="220"/>
      <c r="K70" s="220"/>
      <c r="L70" s="220"/>
      <c r="M70" s="220"/>
      <c r="N70" s="125"/>
    </row>
    <row r="71" spans="2:14" ht="32.25" customHeight="1">
      <c r="B71" s="205"/>
      <c r="C71" s="220"/>
      <c r="D71" s="220"/>
      <c r="E71" s="220"/>
      <c r="F71" s="220"/>
      <c r="G71" s="220"/>
      <c r="H71" s="220"/>
      <c r="I71" s="220"/>
      <c r="J71" s="220"/>
      <c r="K71" s="220"/>
      <c r="L71" s="220"/>
      <c r="M71" s="220"/>
      <c r="N71" s="125"/>
    </row>
    <row r="72" spans="2:14" ht="18">
      <c r="B72" s="250" t="s">
        <v>320</v>
      </c>
      <c r="C72" s="130"/>
      <c r="D72" s="130"/>
      <c r="E72" s="130"/>
      <c r="F72" s="130"/>
      <c r="G72" s="130"/>
      <c r="H72" s="130"/>
      <c r="I72" s="130"/>
      <c r="J72" s="130"/>
      <c r="K72" s="130"/>
      <c r="L72" s="130"/>
      <c r="M72" s="130"/>
      <c r="N72" s="125"/>
    </row>
    <row r="73" spans="2:14">
      <c r="B73" s="204"/>
      <c r="C73" s="219"/>
      <c r="D73" s="219"/>
      <c r="E73" s="219"/>
      <c r="F73" s="219"/>
      <c r="G73" s="219"/>
      <c r="H73" s="219"/>
      <c r="I73" s="219"/>
      <c r="J73" s="219"/>
      <c r="K73" s="219"/>
      <c r="L73" s="219"/>
      <c r="M73" s="219"/>
      <c r="N73" s="125"/>
    </row>
    <row r="74" spans="2:14">
      <c r="B74" s="247" t="s">
        <v>182</v>
      </c>
      <c r="C74" s="248"/>
      <c r="D74" s="248"/>
      <c r="E74" s="248"/>
      <c r="F74" s="248"/>
      <c r="G74" s="248"/>
      <c r="H74" s="248"/>
      <c r="I74" s="248"/>
      <c r="J74" s="248"/>
      <c r="K74" s="248"/>
      <c r="L74" s="248"/>
      <c r="M74" s="248"/>
      <c r="N74" s="251"/>
    </row>
    <row r="75" spans="2:14">
      <c r="B75" s="204" t="s">
        <v>218</v>
      </c>
      <c r="C75" s="219"/>
      <c r="D75" s="252" t="s">
        <v>141</v>
      </c>
      <c r="E75" s="252"/>
      <c r="F75" s="252"/>
      <c r="G75" s="252"/>
      <c r="H75" s="252"/>
      <c r="I75" s="252"/>
      <c r="J75" s="219"/>
      <c r="K75" s="219"/>
      <c r="L75" s="219"/>
      <c r="M75" s="219"/>
      <c r="N75" s="125"/>
    </row>
    <row r="76" spans="2:14" ht="27.75" customHeight="1">
      <c r="B76" s="205" t="s">
        <v>166</v>
      </c>
      <c r="C76" s="220"/>
      <c r="D76" s="220"/>
      <c r="E76" s="220"/>
      <c r="F76" s="220"/>
      <c r="G76" s="220"/>
      <c r="H76" s="220"/>
      <c r="I76" s="220"/>
      <c r="J76" s="220"/>
      <c r="K76" s="220"/>
      <c r="L76" s="220"/>
      <c r="M76" s="220"/>
      <c r="N76" s="125"/>
    </row>
    <row r="77" spans="2:14" ht="29.25" customHeight="1">
      <c r="B77" s="205" t="s">
        <v>167</v>
      </c>
      <c r="C77" s="220"/>
      <c r="D77" s="220"/>
      <c r="E77" s="220"/>
      <c r="F77" s="220"/>
      <c r="G77" s="220"/>
      <c r="H77" s="220"/>
      <c r="I77" s="220"/>
      <c r="J77" s="220"/>
      <c r="K77" s="220"/>
      <c r="L77" s="220"/>
      <c r="M77" s="220"/>
      <c r="N77" s="125"/>
    </row>
    <row r="78" spans="2:14">
      <c r="B78" s="204" t="s">
        <v>168</v>
      </c>
      <c r="C78" s="219"/>
      <c r="D78" s="219"/>
      <c r="E78" s="219"/>
      <c r="F78" s="219"/>
      <c r="G78" s="219"/>
      <c r="H78" s="219"/>
      <c r="I78" s="219"/>
      <c r="J78" s="219"/>
      <c r="K78" s="219"/>
      <c r="L78" s="219"/>
      <c r="M78" s="219"/>
      <c r="N78" s="125"/>
    </row>
    <row r="79" spans="2:14">
      <c r="B79" s="204"/>
      <c r="C79" s="219"/>
      <c r="D79" s="219"/>
      <c r="E79" s="219"/>
      <c r="F79" s="219"/>
      <c r="G79" s="219"/>
      <c r="H79" s="219"/>
      <c r="I79" s="219"/>
      <c r="J79" s="219"/>
      <c r="K79" s="219"/>
      <c r="L79" s="219"/>
      <c r="M79" s="219"/>
      <c r="N79" s="125"/>
    </row>
    <row r="80" spans="2:14">
      <c r="B80" s="247" t="s">
        <v>205</v>
      </c>
      <c r="C80" s="248"/>
      <c r="D80" s="248"/>
      <c r="E80" s="248"/>
      <c r="F80" s="248"/>
      <c r="G80" s="248"/>
      <c r="H80" s="248"/>
      <c r="I80" s="248"/>
      <c r="J80" s="248"/>
      <c r="K80" s="248"/>
      <c r="L80" s="248"/>
      <c r="M80" s="248"/>
      <c r="N80" s="251"/>
    </row>
    <row r="81" spans="2:14">
      <c r="B81" s="204" t="s">
        <v>321</v>
      </c>
      <c r="C81" s="219"/>
      <c r="D81" s="253" t="s">
        <v>142</v>
      </c>
      <c r="E81" s="253"/>
      <c r="F81" s="253"/>
      <c r="G81" s="253"/>
      <c r="H81" s="253"/>
      <c r="I81" s="219"/>
      <c r="J81" s="219"/>
      <c r="K81" s="219"/>
      <c r="L81" s="219"/>
      <c r="M81" s="219"/>
      <c r="N81" s="125"/>
    </row>
    <row r="82" spans="2:14" ht="58.5" customHeight="1">
      <c r="B82" s="205" t="s">
        <v>169</v>
      </c>
      <c r="C82" s="220"/>
      <c r="D82" s="220"/>
      <c r="E82" s="220"/>
      <c r="F82" s="220"/>
      <c r="G82" s="220"/>
      <c r="H82" s="220"/>
      <c r="I82" s="220"/>
      <c r="J82" s="220"/>
      <c r="K82" s="220"/>
      <c r="L82" s="220"/>
      <c r="M82" s="220"/>
      <c r="N82" s="125"/>
    </row>
    <row r="83" spans="2:14">
      <c r="B83" s="204" t="s">
        <v>170</v>
      </c>
      <c r="C83" s="219"/>
      <c r="D83" s="219"/>
      <c r="E83" s="219"/>
      <c r="F83" s="219"/>
      <c r="G83" s="219"/>
      <c r="H83" s="219"/>
      <c r="I83" s="219"/>
      <c r="J83" s="219"/>
      <c r="K83" s="219"/>
      <c r="L83" s="219"/>
      <c r="M83" s="219"/>
      <c r="N83" s="125"/>
    </row>
    <row r="84" spans="2:14">
      <c r="B84" s="204" t="s">
        <v>171</v>
      </c>
      <c r="C84" s="219"/>
      <c r="D84" s="219"/>
      <c r="E84" s="219"/>
      <c r="F84" s="219"/>
      <c r="G84" s="219"/>
      <c r="H84" s="219"/>
      <c r="I84" s="219"/>
      <c r="J84" s="219"/>
      <c r="K84" s="219"/>
      <c r="L84" s="219"/>
      <c r="M84" s="219"/>
      <c r="N84" s="125"/>
    </row>
    <row r="85" spans="2:14">
      <c r="B85" s="204"/>
      <c r="C85" s="219"/>
      <c r="D85" s="219"/>
      <c r="E85" s="219"/>
      <c r="F85" s="219"/>
      <c r="G85" s="219"/>
      <c r="H85" s="219"/>
      <c r="I85" s="219"/>
      <c r="J85" s="219"/>
      <c r="K85" s="219"/>
      <c r="L85" s="219"/>
      <c r="M85" s="219"/>
      <c r="N85" s="125"/>
    </row>
    <row r="86" spans="2:14" ht="31.5" customHeight="1">
      <c r="B86" s="247" t="s">
        <v>183</v>
      </c>
      <c r="C86" s="248"/>
      <c r="D86" s="248"/>
      <c r="E86" s="248"/>
      <c r="F86" s="248"/>
      <c r="G86" s="248"/>
      <c r="H86" s="248"/>
      <c r="I86" s="248"/>
      <c r="J86" s="248"/>
      <c r="K86" s="248"/>
      <c r="L86" s="248"/>
      <c r="M86" s="248"/>
      <c r="N86" s="125"/>
    </row>
    <row r="87" spans="2:14">
      <c r="B87" s="204" t="s">
        <v>218</v>
      </c>
      <c r="C87" s="219"/>
      <c r="D87" s="252" t="s">
        <v>244</v>
      </c>
      <c r="E87" s="252"/>
      <c r="F87" s="252"/>
      <c r="G87" s="252"/>
      <c r="H87" s="252"/>
      <c r="I87" s="219"/>
      <c r="J87" s="219"/>
      <c r="K87" s="219"/>
      <c r="L87" s="219"/>
      <c r="M87" s="219"/>
      <c r="N87" s="125"/>
    </row>
    <row r="88" spans="2:14">
      <c r="B88" s="204" t="s">
        <v>217</v>
      </c>
      <c r="C88" s="219"/>
      <c r="D88" s="219"/>
      <c r="E88" s="219"/>
      <c r="F88" s="219"/>
      <c r="G88" s="219"/>
      <c r="H88" s="219"/>
      <c r="I88" s="219"/>
      <c r="J88" s="219"/>
      <c r="K88" s="219"/>
      <c r="L88" s="219"/>
      <c r="M88" s="219"/>
      <c r="N88" s="125"/>
    </row>
    <row r="89" spans="2:14" ht="28.5" customHeight="1">
      <c r="B89" s="205" t="s">
        <v>172</v>
      </c>
      <c r="C89" s="220"/>
      <c r="D89" s="220"/>
      <c r="E89" s="220"/>
      <c r="F89" s="220"/>
      <c r="G89" s="220"/>
      <c r="H89" s="220"/>
      <c r="I89" s="220"/>
      <c r="J89" s="220"/>
      <c r="K89" s="220"/>
      <c r="L89" s="220"/>
      <c r="M89" s="220"/>
      <c r="N89" s="125"/>
    </row>
    <row r="90" spans="2:14" ht="30" customHeight="1">
      <c r="B90" s="205" t="s">
        <v>173</v>
      </c>
      <c r="C90" s="220"/>
      <c r="D90" s="220"/>
      <c r="E90" s="220"/>
      <c r="F90" s="220"/>
      <c r="G90" s="220"/>
      <c r="H90" s="220"/>
      <c r="I90" s="220"/>
      <c r="J90" s="220"/>
      <c r="K90" s="220"/>
      <c r="L90" s="220"/>
      <c r="M90" s="220"/>
      <c r="N90" s="125"/>
    </row>
    <row r="91" spans="2:14" ht="33.75" customHeight="1">
      <c r="B91" s="205" t="s">
        <v>174</v>
      </c>
      <c r="C91" s="220"/>
      <c r="D91" s="220"/>
      <c r="E91" s="220"/>
      <c r="F91" s="220"/>
      <c r="G91" s="220"/>
      <c r="H91" s="220"/>
      <c r="I91" s="220"/>
      <c r="J91" s="220"/>
      <c r="K91" s="220"/>
      <c r="L91" s="220"/>
      <c r="M91" s="220"/>
      <c r="N91" s="125"/>
    </row>
    <row r="92" spans="2:14">
      <c r="B92" s="204"/>
      <c r="C92" s="219"/>
      <c r="D92" s="219"/>
      <c r="E92" s="219"/>
      <c r="F92" s="219"/>
      <c r="G92" s="219"/>
      <c r="H92" s="219"/>
      <c r="I92" s="219"/>
      <c r="J92" s="219"/>
      <c r="K92" s="219"/>
      <c r="L92" s="219"/>
      <c r="M92" s="219"/>
      <c r="N92" s="125"/>
    </row>
    <row r="93" spans="2:14">
      <c r="B93" s="247" t="s">
        <v>184</v>
      </c>
      <c r="C93" s="248"/>
      <c r="D93" s="248"/>
      <c r="E93" s="248"/>
      <c r="F93" s="248"/>
      <c r="G93" s="248"/>
      <c r="H93" s="248"/>
      <c r="I93" s="248"/>
      <c r="J93" s="248"/>
      <c r="K93" s="248"/>
      <c r="L93" s="248"/>
      <c r="M93" s="248"/>
      <c r="N93" s="251"/>
    </row>
    <row r="94" spans="2:14">
      <c r="B94" s="204" t="s">
        <v>322</v>
      </c>
      <c r="C94" s="219"/>
      <c r="D94" s="252" t="s">
        <v>143</v>
      </c>
      <c r="E94" s="252"/>
      <c r="F94" s="252"/>
      <c r="G94" s="252"/>
      <c r="H94" s="252"/>
      <c r="I94" s="252"/>
      <c r="J94" s="252"/>
      <c r="K94" s="219"/>
      <c r="L94" s="219"/>
      <c r="M94" s="219"/>
      <c r="N94" s="125"/>
    </row>
    <row r="95" spans="2:14">
      <c r="B95" s="204" t="s">
        <v>175</v>
      </c>
      <c r="C95" s="219"/>
      <c r="D95" s="219"/>
      <c r="E95" s="219"/>
      <c r="F95" s="219"/>
      <c r="G95" s="219"/>
      <c r="H95" s="219"/>
      <c r="I95" s="219"/>
      <c r="J95" s="219"/>
      <c r="K95" s="219"/>
      <c r="L95" s="219"/>
      <c r="M95" s="219"/>
      <c r="N95" s="125"/>
    </row>
    <row r="96" spans="2:14" ht="18.75" customHeight="1">
      <c r="B96" s="205" t="s">
        <v>214</v>
      </c>
      <c r="C96" s="220"/>
      <c r="D96" s="220"/>
      <c r="E96" s="220"/>
      <c r="F96" s="220"/>
      <c r="G96" s="220"/>
      <c r="H96" s="220"/>
      <c r="I96" s="220"/>
      <c r="J96" s="220"/>
      <c r="K96" s="220"/>
      <c r="L96" s="220"/>
      <c r="M96" s="220"/>
      <c r="N96" s="125"/>
    </row>
    <row r="97" spans="2:14">
      <c r="B97" s="204" t="s">
        <v>176</v>
      </c>
      <c r="C97" s="219"/>
      <c r="D97" s="219"/>
      <c r="E97" s="219"/>
      <c r="F97" s="219"/>
      <c r="G97" s="219"/>
      <c r="H97" s="219"/>
      <c r="I97" s="219"/>
      <c r="J97" s="219"/>
      <c r="K97" s="219"/>
      <c r="L97" s="219"/>
      <c r="M97" s="219"/>
      <c r="N97" s="125"/>
    </row>
    <row r="98" spans="2:14" ht="15.75" thickBot="1">
      <c r="B98" s="127"/>
      <c r="C98" s="128"/>
      <c r="D98" s="128"/>
      <c r="E98" s="128"/>
      <c r="F98" s="128"/>
      <c r="G98" s="128"/>
      <c r="H98" s="128"/>
      <c r="I98" s="128"/>
      <c r="J98" s="128"/>
      <c r="K98" s="128"/>
      <c r="L98" s="128"/>
      <c r="M98" s="128"/>
      <c r="N98" s="125"/>
    </row>
    <row r="99" spans="2:14" ht="15.75" thickTop="1">
      <c r="B99" s="142"/>
      <c r="C99" s="221"/>
      <c r="D99" s="221"/>
      <c r="E99" s="221"/>
      <c r="F99" s="221"/>
      <c r="G99" s="221"/>
      <c r="H99" s="221"/>
      <c r="I99" s="221"/>
      <c r="J99" s="221"/>
      <c r="K99" s="221"/>
      <c r="L99" s="221"/>
      <c r="M99" s="221"/>
      <c r="N99" s="222"/>
    </row>
    <row r="100" spans="2:13">
      <c r="B100" s="221"/>
      <c r="C100" s="221"/>
      <c r="D100" s="221"/>
      <c r="E100" s="221"/>
      <c r="F100" s="221"/>
      <c r="G100" s="221"/>
      <c r="H100" s="221"/>
      <c r="I100" s="221"/>
      <c r="J100" s="221"/>
      <c r="K100" s="221"/>
      <c r="L100" s="221"/>
      <c r="M100" s="221"/>
    </row>
    <row r="101" spans="2:13">
      <c r="B101" s="221"/>
      <c r="C101" s="221"/>
      <c r="D101" s="221"/>
      <c r="E101" s="221"/>
      <c r="F101" s="221"/>
      <c r="G101" s="221"/>
      <c r="H101" s="221"/>
      <c r="I101" s="221"/>
      <c r="J101" s="221"/>
      <c r="K101" s="221"/>
      <c r="L101" s="221"/>
      <c r="M101" s="221"/>
    </row>
    <row r="102" spans="2:13">
      <c r="B102" s="221"/>
      <c r="C102" s="221"/>
      <c r="D102" s="221"/>
      <c r="E102" s="221"/>
      <c r="F102" s="221"/>
      <c r="G102" s="221"/>
      <c r="H102" s="221"/>
      <c r="I102" s="221"/>
      <c r="J102" s="221"/>
      <c r="K102" s="221"/>
      <c r="L102" s="221"/>
      <c r="M102" s="221"/>
    </row>
    <row r="103" spans="2:13">
      <c r="B103" s="221"/>
      <c r="C103" s="221"/>
      <c r="D103" s="221"/>
      <c r="E103" s="221"/>
      <c r="F103" s="221"/>
      <c r="G103" s="221"/>
      <c r="H103" s="221"/>
      <c r="I103" s="221"/>
      <c r="J103" s="221"/>
      <c r="K103" s="221"/>
      <c r="L103" s="221"/>
      <c r="M103" s="221"/>
    </row>
    <row r="104" spans="2:13">
      <c r="B104" s="221"/>
      <c r="C104" s="221"/>
      <c r="D104" s="221"/>
      <c r="E104" s="221"/>
      <c r="F104" s="221"/>
      <c r="G104" s="221"/>
      <c r="H104" s="221"/>
      <c r="I104" s="221"/>
      <c r="J104" s="221"/>
      <c r="K104" s="221"/>
      <c r="L104" s="221"/>
      <c r="M104" s="221"/>
    </row>
    <row r="105" spans="2:13">
      <c r="B105" s="221"/>
      <c r="C105" s="221"/>
      <c r="D105" s="221"/>
      <c r="E105" s="221"/>
      <c r="F105" s="221"/>
      <c r="G105" s="221"/>
      <c r="H105" s="221"/>
      <c r="I105" s="221"/>
      <c r="J105" s="221"/>
      <c r="K105" s="221"/>
      <c r="L105" s="221"/>
      <c r="M105" s="221"/>
    </row>
    <row r="106" spans="2:13">
      <c r="B106" s="221"/>
      <c r="C106" s="221"/>
      <c r="D106" s="221"/>
      <c r="E106" s="221"/>
      <c r="F106" s="221"/>
      <c r="G106" s="221"/>
      <c r="H106" s="221"/>
      <c r="I106" s="221"/>
      <c r="J106" s="221"/>
      <c r="K106" s="221"/>
      <c r="L106" s="221"/>
      <c r="M106" s="221"/>
    </row>
    <row r="107" spans="2:13">
      <c r="B107" s="221"/>
      <c r="C107" s="221"/>
      <c r="D107" s="221"/>
      <c r="E107" s="221"/>
      <c r="F107" s="221"/>
      <c r="G107" s="221"/>
      <c r="H107" s="221"/>
      <c r="I107" s="221"/>
      <c r="J107" s="221"/>
      <c r="K107" s="221"/>
      <c r="L107" s="221"/>
      <c r="M107" s="221"/>
    </row>
    <row r="108" spans="2:13">
      <c r="B108" s="221"/>
      <c r="C108" s="221"/>
      <c r="D108" s="221"/>
      <c r="E108" s="221"/>
      <c r="F108" s="221"/>
      <c r="G108" s="221"/>
      <c r="H108" s="221"/>
      <c r="I108" s="221"/>
      <c r="J108" s="221"/>
      <c r="K108" s="221"/>
      <c r="L108" s="221"/>
      <c r="M108" s="221"/>
    </row>
    <row r="109" spans="2:13">
      <c r="B109" s="221"/>
      <c r="C109" s="221"/>
      <c r="D109" s="221"/>
      <c r="E109" s="221"/>
      <c r="F109" s="221"/>
      <c r="G109" s="221"/>
      <c r="H109" s="221"/>
      <c r="I109" s="221"/>
      <c r="J109" s="221"/>
      <c r="K109" s="221"/>
      <c r="L109" s="221"/>
      <c r="M109" s="221"/>
    </row>
    <row r="110" spans="2:13">
      <c r="B110" s="221"/>
      <c r="C110" s="221"/>
      <c r="D110" s="221"/>
      <c r="E110" s="221"/>
      <c r="F110" s="221"/>
      <c r="G110" s="221"/>
      <c r="H110" s="221"/>
      <c r="I110" s="221"/>
      <c r="J110" s="221"/>
      <c r="K110" s="221"/>
      <c r="L110" s="221"/>
      <c r="M110" s="221"/>
    </row>
    <row r="111" spans="2:13">
      <c r="B111" s="221"/>
      <c r="C111" s="221"/>
      <c r="D111" s="221"/>
      <c r="E111" s="221"/>
      <c r="F111" s="221"/>
      <c r="G111" s="221"/>
      <c r="H111" s="221"/>
      <c r="I111" s="221"/>
      <c r="J111" s="221"/>
      <c r="K111" s="221"/>
      <c r="L111" s="221"/>
      <c r="M111" s="221"/>
    </row>
    <row r="112" spans="2:13">
      <c r="B112" s="221"/>
      <c r="C112" s="221"/>
      <c r="D112" s="221"/>
      <c r="E112" s="221"/>
      <c r="F112" s="221"/>
      <c r="G112" s="221"/>
      <c r="H112" s="221"/>
      <c r="I112" s="221"/>
      <c r="J112" s="221"/>
      <c r="K112" s="221"/>
      <c r="L112" s="221"/>
      <c r="M112" s="221"/>
    </row>
    <row r="113" spans="2:13">
      <c r="B113" s="221"/>
      <c r="C113" s="221"/>
      <c r="D113" s="221"/>
      <c r="E113" s="221"/>
      <c r="F113" s="221"/>
      <c r="G113" s="221"/>
      <c r="H113" s="221"/>
      <c r="I113" s="221"/>
      <c r="J113" s="221"/>
      <c r="K113" s="221"/>
      <c r="L113" s="221"/>
      <c r="M113" s="221"/>
    </row>
    <row r="114" spans="2:13">
      <c r="B114" s="221"/>
      <c r="C114" s="221"/>
      <c r="D114" s="221"/>
      <c r="E114" s="221"/>
      <c r="F114" s="221"/>
      <c r="G114" s="221"/>
      <c r="H114" s="221"/>
      <c r="I114" s="221"/>
      <c r="J114" s="221"/>
      <c r="K114" s="221"/>
      <c r="L114" s="221"/>
      <c r="M114" s="221"/>
    </row>
    <row r="115" spans="2:13">
      <c r="B115" s="221"/>
      <c r="C115" s="221"/>
      <c r="D115" s="221"/>
      <c r="E115" s="221"/>
      <c r="F115" s="221"/>
      <c r="G115" s="221"/>
      <c r="H115" s="221"/>
      <c r="I115" s="221"/>
      <c r="J115" s="221"/>
      <c r="K115" s="221"/>
      <c r="L115" s="221"/>
      <c r="M115" s="221"/>
    </row>
    <row r="116" spans="2:13">
      <c r="B116" s="221"/>
      <c r="C116" s="221"/>
      <c r="D116" s="221"/>
      <c r="E116" s="221"/>
      <c r="F116" s="221"/>
      <c r="G116" s="221"/>
      <c r="H116" s="221"/>
      <c r="I116" s="221"/>
      <c r="J116" s="221"/>
      <c r="K116" s="221"/>
      <c r="L116" s="221"/>
      <c r="M116" s="221"/>
    </row>
    <row r="117" spans="2:13">
      <c r="B117" s="221"/>
      <c r="C117" s="221"/>
      <c r="D117" s="221"/>
      <c r="E117" s="221"/>
      <c r="F117" s="221"/>
      <c r="G117" s="221"/>
      <c r="H117" s="221"/>
      <c r="I117" s="221"/>
      <c r="J117" s="221"/>
      <c r="K117" s="221"/>
      <c r="L117" s="221"/>
      <c r="M117" s="221"/>
    </row>
    <row r="118" spans="2:13">
      <c r="B118" s="221"/>
      <c r="C118" s="221"/>
      <c r="D118" s="221"/>
      <c r="E118" s="221"/>
      <c r="F118" s="221"/>
      <c r="G118" s="221"/>
      <c r="H118" s="221"/>
      <c r="I118" s="221"/>
      <c r="J118" s="221"/>
      <c r="K118" s="221"/>
      <c r="L118" s="221"/>
      <c r="M118" s="221"/>
    </row>
    <row r="119" spans="2:13">
      <c r="B119" s="221"/>
      <c r="C119" s="221"/>
      <c r="D119" s="221"/>
      <c r="E119" s="221"/>
      <c r="F119" s="221"/>
      <c r="G119" s="221"/>
      <c r="H119" s="221"/>
      <c r="I119" s="221"/>
      <c r="J119" s="221"/>
      <c r="K119" s="221"/>
      <c r="L119" s="221"/>
      <c r="M119" s="221"/>
    </row>
    <row r="120" spans="2:13">
      <c r="B120" s="221"/>
      <c r="C120" s="221"/>
      <c r="D120" s="221"/>
      <c r="E120" s="221"/>
      <c r="F120" s="221"/>
      <c r="G120" s="221"/>
      <c r="H120" s="221"/>
      <c r="I120" s="221"/>
      <c r="J120" s="221"/>
      <c r="K120" s="221"/>
      <c r="L120" s="221"/>
      <c r="M120" s="221"/>
    </row>
    <row r="121" spans="2:13">
      <c r="B121" s="221"/>
      <c r="C121" s="221"/>
      <c r="D121" s="221"/>
      <c r="E121" s="221"/>
      <c r="F121" s="221"/>
      <c r="G121" s="221"/>
      <c r="H121" s="221"/>
      <c r="I121" s="221"/>
      <c r="J121" s="221"/>
      <c r="K121" s="221"/>
      <c r="L121" s="221"/>
      <c r="M121" s="221"/>
    </row>
    <row r="122" spans="2:13">
      <c r="B122" s="221"/>
      <c r="C122" s="221"/>
      <c r="D122" s="221"/>
      <c r="E122" s="221"/>
      <c r="F122" s="221"/>
      <c r="G122" s="221"/>
      <c r="H122" s="221"/>
      <c r="I122" s="221"/>
      <c r="J122" s="221"/>
      <c r="K122" s="221"/>
      <c r="L122" s="221"/>
      <c r="M122" s="221"/>
    </row>
    <row r="123" spans="2:13">
      <c r="B123" s="221"/>
      <c r="C123" s="221"/>
      <c r="D123" s="221"/>
      <c r="E123" s="221"/>
      <c r="F123" s="221"/>
      <c r="G123" s="221"/>
      <c r="H123" s="221"/>
      <c r="I123" s="221"/>
      <c r="J123" s="221"/>
      <c r="K123" s="221"/>
      <c r="L123" s="221"/>
      <c r="M123" s="221"/>
    </row>
    <row r="124" spans="2:13">
      <c r="B124" s="221"/>
      <c r="C124" s="221"/>
      <c r="D124" s="221"/>
      <c r="E124" s="221"/>
      <c r="F124" s="221"/>
      <c r="G124" s="221"/>
      <c r="H124" s="221"/>
      <c r="I124" s="221"/>
      <c r="J124" s="221"/>
      <c r="K124" s="221"/>
      <c r="L124" s="221"/>
      <c r="M124" s="221"/>
    </row>
    <row r="125" spans="2:13">
      <c r="B125" s="221"/>
      <c r="C125" s="221"/>
      <c r="D125" s="221"/>
      <c r="E125" s="221"/>
      <c r="F125" s="221"/>
      <c r="G125" s="221"/>
      <c r="H125" s="221"/>
      <c r="I125" s="221"/>
      <c r="J125" s="221"/>
      <c r="K125" s="221"/>
      <c r="L125" s="221"/>
      <c r="M125" s="221"/>
    </row>
    <row r="126" spans="2:13">
      <c r="B126" s="221"/>
      <c r="C126" s="221"/>
      <c r="D126" s="221"/>
      <c r="E126" s="221"/>
      <c r="F126" s="221"/>
      <c r="G126" s="221"/>
      <c r="H126" s="221"/>
      <c r="I126" s="221"/>
      <c r="J126" s="221"/>
      <c r="K126" s="221"/>
      <c r="L126" s="221"/>
      <c r="M126" s="221"/>
    </row>
    <row r="127" spans="2:13">
      <c r="B127" s="221"/>
      <c r="C127" s="221"/>
      <c r="D127" s="221"/>
      <c r="E127" s="221"/>
      <c r="F127" s="221"/>
      <c r="G127" s="221"/>
      <c r="H127" s="221"/>
      <c r="I127" s="221"/>
      <c r="J127" s="221"/>
      <c r="K127" s="221"/>
      <c r="L127" s="221"/>
      <c r="M127" s="221"/>
    </row>
    <row r="128" spans="2:13">
      <c r="B128" s="221"/>
      <c r="C128" s="221"/>
      <c r="D128" s="221"/>
      <c r="E128" s="221"/>
      <c r="F128" s="221"/>
      <c r="G128" s="221"/>
      <c r="H128" s="221"/>
      <c r="I128" s="221"/>
      <c r="J128" s="221"/>
      <c r="K128" s="221"/>
      <c r="L128" s="221"/>
      <c r="M128" s="221"/>
    </row>
    <row r="129" spans="2:13">
      <c r="B129" s="221"/>
      <c r="C129" s="221"/>
      <c r="D129" s="221"/>
      <c r="E129" s="221"/>
      <c r="F129" s="221"/>
      <c r="G129" s="221"/>
      <c r="H129" s="221"/>
      <c r="I129" s="221"/>
      <c r="J129" s="221"/>
      <c r="K129" s="221"/>
      <c r="L129" s="221"/>
      <c r="M129" s="221"/>
    </row>
    <row r="130" spans="2:13">
      <c r="B130" s="221"/>
      <c r="C130" s="221"/>
      <c r="D130" s="221"/>
      <c r="E130" s="221"/>
      <c r="F130" s="221"/>
      <c r="G130" s="221"/>
      <c r="H130" s="221"/>
      <c r="I130" s="221"/>
      <c r="J130" s="221"/>
      <c r="K130" s="221"/>
      <c r="L130" s="221"/>
      <c r="M130" s="221"/>
    </row>
    <row r="131" spans="2:13">
      <c r="B131" s="221"/>
      <c r="C131" s="221"/>
      <c r="D131" s="221"/>
      <c r="E131" s="221"/>
      <c r="F131" s="221"/>
      <c r="G131" s="221"/>
      <c r="H131" s="221"/>
      <c r="I131" s="221"/>
      <c r="J131" s="221"/>
      <c r="K131" s="221"/>
      <c r="L131" s="221"/>
      <c r="M131" s="221"/>
    </row>
    <row r="132" spans="2:13">
      <c r="B132" s="221"/>
      <c r="C132" s="221"/>
      <c r="D132" s="221"/>
      <c r="E132" s="221"/>
      <c r="F132" s="221"/>
      <c r="G132" s="221"/>
      <c r="H132" s="221"/>
      <c r="I132" s="221"/>
      <c r="J132" s="221"/>
      <c r="K132" s="221"/>
      <c r="L132" s="221"/>
      <c r="M132" s="221"/>
    </row>
    <row r="133" spans="2:13">
      <c r="B133" s="221"/>
      <c r="C133" s="221"/>
      <c r="D133" s="221"/>
      <c r="E133" s="221"/>
      <c r="F133" s="221"/>
      <c r="G133" s="221"/>
      <c r="H133" s="221"/>
      <c r="I133" s="221"/>
      <c r="J133" s="221"/>
      <c r="K133" s="221"/>
      <c r="L133" s="221"/>
      <c r="M133" s="221"/>
    </row>
  </sheetData>
  <sheetProtection algorithmName="SHA-512" hashValue="HBWF5HK2H5wh2SEPugMzSLlnSPgk/kBabMkR8MesqxYySDOmTcuY1zSvXARe/FVXuZm0JWU96H+kA9JVMyujQw==" saltValue="/7H8I8eJwS/OU5BmyUc2vg==" spinCount="100000" sheet="1" objects="1" scenarios="1"/>
  <mergeCells count="40">
    <mergeCell ref="D94:J94"/>
    <mergeCell ref="B95:M95"/>
    <mergeCell ref="B96:M96"/>
    <mergeCell ref="B97:M97"/>
    <mergeCell ref="B86:M86"/>
    <mergeCell ref="D87:H87"/>
    <mergeCell ref="B89:M89"/>
    <mergeCell ref="B90:M90"/>
    <mergeCell ref="B91:M91"/>
    <mergeCell ref="B93:N93"/>
    <mergeCell ref="B82:M82"/>
    <mergeCell ref="B62:M62"/>
    <mergeCell ref="B63:M63"/>
    <mergeCell ref="B64:M64"/>
    <mergeCell ref="B66:M66"/>
    <mergeCell ref="B72:M72"/>
    <mergeCell ref="B74:N74"/>
    <mergeCell ref="D75:I75"/>
    <mergeCell ref="B76:M76"/>
    <mergeCell ref="B77:M77"/>
    <mergeCell ref="B80:N80"/>
    <mergeCell ref="D81:H81"/>
    <mergeCell ref="B61:M61"/>
    <mergeCell ref="B46:M46"/>
    <mergeCell ref="B47:M47"/>
    <mergeCell ref="B48:M48"/>
    <mergeCell ref="B49:M49"/>
    <mergeCell ref="B50:M50"/>
    <mergeCell ref="B51:M51"/>
    <mergeCell ref="B52:M52"/>
    <mergeCell ref="B53:M53"/>
    <mergeCell ref="B54:M54"/>
    <mergeCell ref="B56:M56"/>
    <mergeCell ref="B58:M58"/>
    <mergeCell ref="B44:M44"/>
    <mergeCell ref="B3:N5"/>
    <mergeCell ref="B7:M7"/>
    <mergeCell ref="B27:M27"/>
    <mergeCell ref="B37:M37"/>
    <mergeCell ref="B40:M40"/>
  </mergeCells>
  <hyperlinks>
    <hyperlink ref="D75" r:id="rId1" display="http://environment.data.gov.uk/catchment-planning/ "/>
    <hyperlink ref="D81" r:id="rId2" location="." display="http://www.landis.org.uk/soilscapes/#.  "/>
    <hyperlink ref="D94" r:id="rId3" display="http://mapapps2.bgs.ac.uk/ukso/home.html?layers=NVZEng"/>
    <hyperlink ref="D87" r:id="rId4" display="https://nrfa.ceh.ac.uk/data/station/spatial/34002"/>
  </hyperlinks>
  <pageMargins left="0.7" right="0.7" top="0.75" bottom="0.75" header="0.3" footer="0.3"/>
  <pageSetup paperSize="9" orientation="portrait"/>
  <headerFooter scaleWithDoc="1" alignWithMargins="0" differentFirst="0" differentOddEven="0"/>
  <drawing r:id="rId6"/>
  <extLst/>
</worksheet>
</file>

<file path=xl/worksheets/sheet5.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2:N16"/>
  <sheetViews>
    <sheetView showRowColHeaders="0" view="normal" workbookViewId="0">
      <selection pane="topLeft" activeCell="D7" sqref="D7:K7"/>
    </sheetView>
  </sheetViews>
  <sheetFormatPr defaultColWidth="9.140625" defaultRowHeight="15"/>
  <cols>
    <col min="1" max="1" width="9.140625" style="140" customWidth="1"/>
    <col min="2" max="2" width="3.7109375" style="140" customWidth="1"/>
    <col min="3" max="3" width="30.5703125" style="140" customWidth="1"/>
    <col min="4" max="4" width="11.27734375" style="140" bestFit="1" customWidth="1"/>
    <col min="5" max="10" width="9.140625" style="140" customWidth="1"/>
    <col min="11" max="11" width="10.27734375" style="140" customWidth="1"/>
    <col min="12" max="12" width="4.140625" style="140" customWidth="1"/>
    <col min="13" max="16384" width="9.140625" style="140" customWidth="1"/>
  </cols>
  <sheetData>
    <row r="2" ht="15.75" thickBot="1"/>
    <row r="3" spans="2:12" ht="15.75" customHeight="1" thickTop="1">
      <c r="B3" s="229" t="s">
        <v>216</v>
      </c>
      <c r="C3" s="230"/>
      <c r="D3" s="230"/>
      <c r="E3" s="230"/>
      <c r="F3" s="230"/>
      <c r="G3" s="230"/>
      <c r="H3" s="230"/>
      <c r="I3" s="230"/>
      <c r="J3" s="230"/>
      <c r="K3" s="230"/>
      <c r="L3" s="231"/>
    </row>
    <row r="4" spans="2:12" customHeight="1">
      <c r="B4" s="232"/>
      <c r="C4" s="254"/>
      <c r="D4" s="254"/>
      <c r="E4" s="254"/>
      <c r="F4" s="254"/>
      <c r="G4" s="254"/>
      <c r="H4" s="254"/>
      <c r="I4" s="254"/>
      <c r="J4" s="254"/>
      <c r="K4" s="254"/>
      <c r="L4" s="234"/>
    </row>
    <row r="5" spans="2:12" customHeight="1">
      <c r="B5" s="232"/>
      <c r="C5" s="254"/>
      <c r="D5" s="254"/>
      <c r="E5" s="254"/>
      <c r="F5" s="254"/>
      <c r="G5" s="254"/>
      <c r="H5" s="254"/>
      <c r="I5" s="254"/>
      <c r="J5" s="254"/>
      <c r="K5" s="254"/>
      <c r="L5" s="234"/>
    </row>
    <row r="6" spans="2:12" ht="21" customHeight="1">
      <c r="B6" s="135"/>
      <c r="C6" s="148"/>
      <c r="D6" s="148"/>
      <c r="E6" s="148"/>
      <c r="F6" s="148"/>
      <c r="G6" s="148"/>
      <c r="H6" s="148"/>
      <c r="I6" s="148"/>
      <c r="J6" s="148"/>
      <c r="K6" s="148"/>
      <c r="L6" s="125"/>
    </row>
    <row r="7" spans="1:14" ht="18" thickBot="1">
      <c r="A7" s="143"/>
      <c r="B7" s="135"/>
      <c r="C7" s="74" t="s">
        <v>134</v>
      </c>
      <c r="D7" s="255"/>
      <c r="E7" s="255"/>
      <c r="F7" s="255"/>
      <c r="G7" s="255"/>
      <c r="H7" s="255"/>
      <c r="I7" s="255"/>
      <c r="J7" s="255"/>
      <c r="K7" s="255"/>
      <c r="L7" s="150"/>
      <c r="M7" s="145"/>
      <c r="N7" s="143"/>
    </row>
    <row r="8" spans="1:13" ht="35.25" customHeight="1" thickBot="1">
      <c r="A8" s="143"/>
      <c r="B8" s="135"/>
      <c r="C8" s="59" t="s">
        <v>70</v>
      </c>
      <c r="D8" s="256"/>
      <c r="E8" s="256"/>
      <c r="F8" s="256"/>
      <c r="G8" s="256"/>
      <c r="H8" s="256"/>
      <c r="I8" s="256"/>
      <c r="J8" s="256"/>
      <c r="K8" s="256"/>
      <c r="L8" s="149"/>
      <c r="M8" s="143"/>
    </row>
    <row r="9" spans="1:12" ht="39.75" customHeight="1" thickBot="1">
      <c r="A9" s="143"/>
      <c r="B9" s="135"/>
      <c r="C9" s="153" t="s">
        <v>68</v>
      </c>
      <c r="D9" s="256"/>
      <c r="E9" s="256"/>
      <c r="F9" s="256"/>
      <c r="G9" s="256"/>
      <c r="H9" s="256"/>
      <c r="I9" s="256"/>
      <c r="J9" s="256"/>
      <c r="K9" s="256"/>
      <c r="L9" s="151"/>
    </row>
    <row r="10" spans="1:12" ht="97.5" customHeight="1">
      <c r="A10" s="143"/>
      <c r="B10" s="135"/>
      <c r="C10" s="154" t="s">
        <v>69</v>
      </c>
      <c r="D10" s="257"/>
      <c r="E10" s="257"/>
      <c r="F10" s="257"/>
      <c r="G10" s="257"/>
      <c r="H10" s="257"/>
      <c r="I10" s="257"/>
      <c r="J10" s="257"/>
      <c r="K10" s="257"/>
      <c r="L10" s="151"/>
    </row>
    <row r="11" spans="1:12" ht="18.75" customHeight="1" thickBot="1">
      <c r="A11" s="143"/>
      <c r="B11" s="152"/>
      <c r="C11" s="138"/>
      <c r="D11" s="138"/>
      <c r="E11" s="138"/>
      <c r="F11" s="138"/>
      <c r="G11" s="138"/>
      <c r="H11" s="138"/>
      <c r="I11" s="138"/>
      <c r="J11" s="138"/>
      <c r="K11" s="138"/>
      <c r="L11" s="139"/>
    </row>
    <row r="12" spans="1:6" ht="15.75" thickTop="1">
      <c r="A12" s="143"/>
      <c r="B12" s="143"/>
      <c r="C12" s="143"/>
      <c r="D12" s="143"/>
      <c r="E12" s="143"/>
      <c r="F12" s="143"/>
    </row>
    <row r="13" spans="1:6">
      <c r="A13" s="143"/>
      <c r="B13" s="143"/>
      <c r="C13" s="143"/>
      <c r="D13" s="143"/>
      <c r="E13" s="143"/>
      <c r="F13" s="143"/>
    </row>
    <row r="14" spans="1:6">
      <c r="A14" s="143"/>
      <c r="B14" s="143"/>
      <c r="C14" s="143"/>
      <c r="D14" s="143"/>
      <c r="E14" s="143"/>
      <c r="F14" s="143"/>
    </row>
    <row r="15" spans="1:6">
      <c r="A15" s="143"/>
      <c r="B15" s="143"/>
      <c r="C15" s="143"/>
      <c r="D15" s="143"/>
      <c r="E15" s="143"/>
      <c r="F15" s="143"/>
    </row>
    <row r="16" spans="1:6">
      <c r="A16" s="143"/>
      <c r="B16" s="143"/>
      <c r="C16" s="143"/>
      <c r="D16" s="143"/>
      <c r="E16" s="143"/>
      <c r="F16" s="143"/>
    </row>
  </sheetData>
  <sheetProtection algorithmName="SHA-512" hashValue="lTImJ7MNvoCQsLy4rxJekixJGhj1XE+0zAys55VNKDwNbWaGIaP+G7E/+ShpbCWOQkYcohjIQC3hMQhStOaDTA==" saltValue="n0z0u1PZLltSi/1aCxXTow==" spinCount="100000" sheet="1" objects="1" scenarios="1" selectLockedCells="1"/>
  <mergeCells count="5">
    <mergeCell ref="B3:L5"/>
    <mergeCell ref="D7:K7"/>
    <mergeCell ref="D8:K8"/>
    <mergeCell ref="D9:K9"/>
    <mergeCell ref="D10:K10"/>
  </mergeCells>
  <pageMargins left="0.7" right="0.7" top="0.75" bottom="0.75" header="0.3" footer="0.3"/>
  <pageSetup paperSize="9" orientation="portrait"/>
  <headerFooter scaleWithDoc="1" alignWithMargins="0" differentFirst="0" differentOddEven="0"/>
  <extLst/>
</worksheet>
</file>

<file path=xl/worksheets/sheet6.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3:N37"/>
  <sheetViews>
    <sheetView showRowColHeaders="0" view="normal" workbookViewId="0">
      <selection pane="topLeft" activeCell="D9" sqref="D9"/>
    </sheetView>
  </sheetViews>
  <sheetFormatPr defaultColWidth="9.140625" defaultRowHeight="15"/>
  <cols>
    <col min="1" max="1" width="9.27734375" style="161" customWidth="1"/>
    <col min="2" max="2" width="4.84765625" style="161" customWidth="1"/>
    <col min="3" max="3" width="33.27734375" style="161" customWidth="1"/>
    <col min="4" max="4" width="26.84765625" style="161" customWidth="1"/>
    <col min="5" max="5" width="11.41796875" style="161" customWidth="1"/>
    <col min="6" max="6" width="17.41796875" style="161" customWidth="1"/>
    <col min="7" max="7" width="33.27734375" style="161" customWidth="1"/>
    <col min="8" max="8" width="14.140625" style="161" customWidth="1"/>
    <col min="9" max="9" width="9" style="161" customWidth="1"/>
    <col min="10" max="10" width="2" style="161" customWidth="1"/>
    <col min="11" max="11" width="7.140625" style="161" customWidth="1"/>
    <col min="12" max="16384" width="9.140625" style="161" customWidth="1"/>
  </cols>
  <sheetData>
    <row r="3" spans="1:10">
      <c r="A3" s="166"/>
      <c r="B3" s="258" t="s">
        <v>196</v>
      </c>
      <c r="C3" s="259"/>
      <c r="D3" s="259"/>
      <c r="E3" s="259"/>
      <c r="F3" s="259"/>
      <c r="G3" s="259"/>
      <c r="H3" s="259"/>
      <c r="I3" s="259"/>
      <c r="J3" s="260"/>
    </row>
    <row r="4" spans="1:10">
      <c r="A4" s="166"/>
      <c r="B4" s="258"/>
      <c r="C4" s="259"/>
      <c r="D4" s="259"/>
      <c r="E4" s="259"/>
      <c r="F4" s="259"/>
      <c r="G4" s="259"/>
      <c r="H4" s="259"/>
      <c r="I4" s="259"/>
      <c r="J4" s="260"/>
    </row>
    <row r="5" spans="1:12">
      <c r="A5" s="166"/>
      <c r="B5" s="258"/>
      <c r="C5" s="259"/>
      <c r="D5" s="259"/>
      <c r="E5" s="259"/>
      <c r="F5" s="259"/>
      <c r="G5" s="259"/>
      <c r="H5" s="259"/>
      <c r="I5" s="259"/>
      <c r="J5" s="260"/>
      <c r="K5" s="162"/>
      <c r="L5" s="162"/>
    </row>
    <row r="6" spans="1:12" ht="17.25">
      <c r="A6" s="166"/>
      <c r="B6" s="4"/>
      <c r="C6" s="1"/>
      <c r="D6" s="1"/>
      <c r="E6" s="1"/>
      <c r="F6" s="1"/>
      <c r="G6" s="1"/>
      <c r="H6" s="1"/>
      <c r="I6" s="1"/>
      <c r="J6" s="125"/>
      <c r="L6" s="163"/>
    </row>
    <row r="7" spans="1:12" ht="18" customHeight="1">
      <c r="A7" s="166"/>
      <c r="B7" s="4"/>
      <c r="C7" s="263" t="s">
        <v>195</v>
      </c>
      <c r="D7" s="263"/>
      <c r="E7" s="1"/>
      <c r="F7" s="1"/>
      <c r="G7" s="5"/>
      <c r="H7" s="6"/>
      <c r="I7" s="6"/>
      <c r="J7" s="155"/>
      <c r="L7" s="164"/>
    </row>
    <row r="8" spans="1:12" ht="12" customHeight="1">
      <c r="A8" s="166"/>
      <c r="B8" s="4"/>
      <c r="C8" s="1"/>
      <c r="D8" s="1"/>
      <c r="E8" s="1"/>
      <c r="F8" s="1"/>
      <c r="G8" s="3"/>
      <c r="H8" s="3"/>
      <c r="I8" s="3"/>
      <c r="J8" s="156"/>
      <c r="L8" s="164"/>
    </row>
    <row r="9" spans="1:12" ht="22.5" customHeight="1" thickBot="1">
      <c r="A9" s="166"/>
      <c r="B9" s="4"/>
      <c r="C9" s="72" t="s">
        <v>72</v>
      </c>
      <c r="D9" s="114"/>
      <c r="E9" s="1"/>
      <c r="F9" s="1"/>
      <c r="G9" s="1"/>
      <c r="H9" s="83"/>
      <c r="I9" s="3"/>
      <c r="J9" s="156"/>
      <c r="L9" s="164"/>
    </row>
    <row r="10" spans="1:12" ht="21" customHeight="1" thickBot="1">
      <c r="A10" s="166"/>
      <c r="B10" s="4"/>
      <c r="C10" s="71" t="s">
        <v>73</v>
      </c>
      <c r="D10" s="115">
        <v>2.4</v>
      </c>
      <c r="E10" s="7"/>
      <c r="F10" s="7"/>
      <c r="G10" s="262" t="str">
        <f>IFERROR(IF(AND($D$9&lt;DATE(2025,1,1),OR((VLOOKUP($D$13,Lookups!$C$8:$G$89,2,FALSE))&gt;(VLOOKUP($D$13,Lookups!$C$8:$G$89,4,FALSE)),(VLOOKUP($D$13,Lookups!$C$8:$G$89,3,FALSE))&gt;(VLOOKUP($D$13,Lookups!$C$8:$G$89,5,FALSE)))),"A nutrient permit is changing for the selected WwTW as of 01/01/2025. Therefore, two nutrient budgets will be calculated for the loading before and after the 2025 WwTW permit upgrade.",""),"")</f>
        <v/>
      </c>
      <c r="H10" s="83"/>
      <c r="I10" s="3"/>
      <c r="J10" s="156"/>
      <c r="K10" s="163"/>
      <c r="L10" s="165"/>
    </row>
    <row r="11" spans="1:12" ht="30.75" customHeight="1" thickBot="1">
      <c r="A11" s="166"/>
      <c r="B11" s="4"/>
      <c r="C11" s="71" t="s">
        <v>97</v>
      </c>
      <c r="D11" s="116">
        <v>120</v>
      </c>
      <c r="E11" s="8"/>
      <c r="F11" s="8"/>
      <c r="G11" s="262"/>
      <c r="H11" s="83"/>
      <c r="I11" s="8"/>
      <c r="J11" s="149"/>
      <c r="K11" s="164"/>
      <c r="L11" s="165"/>
    </row>
    <row r="12" spans="1:11" ht="36" customHeight="1" thickBot="1">
      <c r="A12" s="166"/>
      <c r="B12" s="1"/>
      <c r="C12" s="71" t="s">
        <v>323</v>
      </c>
      <c r="D12" s="117"/>
      <c r="E12" s="9"/>
      <c r="F12" s="9"/>
      <c r="G12" s="262"/>
      <c r="H12" s="83"/>
      <c r="I12" s="9"/>
      <c r="J12" s="151"/>
      <c r="K12" s="165"/>
    </row>
    <row r="13" spans="1:11" ht="50.25" customHeight="1" thickBot="1">
      <c r="A13" s="166"/>
      <c r="B13" s="1"/>
      <c r="C13" s="73" t="s">
        <v>207</v>
      </c>
      <c r="D13" s="118"/>
      <c r="E13" s="9"/>
      <c r="F13" s="1"/>
      <c r="G13" s="262"/>
      <c r="H13" s="83"/>
      <c r="I13" s="9"/>
      <c r="J13" s="151"/>
      <c r="K13" s="165"/>
    </row>
    <row r="14" spans="1:11" ht="50.25" customHeight="1" thickBot="1">
      <c r="A14" s="166"/>
      <c r="B14" s="1"/>
      <c r="C14" s="16" t="s">
        <v>208</v>
      </c>
      <c r="D14" s="81" t="str">
        <f>(IFERROR(IF(OR(D13="Package Treatment Plant user defined",D13="Septic Tank user defined"),"Please enter value in cell to the right:",IF('Stage 1'!D9&lt;DATE(2025,1,1),VLOOKUP('Stage 1'!D13,Lookups!C8:G92,2,FALSE),VLOOKUP('Stage 1'!D13,Lookups!C8:G91,4,FALSE))),""))</f>
        <v/>
      </c>
      <c r="E14" s="119"/>
      <c r="F14" s="84" t="str">
        <f>IFERROR(IF(AND($D$9&lt;DATE(2025,1,1),(VLOOKUP($D$13,Lookups!$C$8:$G$89,2,FALSE))&gt;(VLOOKUP($D$13,Lookups!$C$8:$G$89,4,FALSE))), "Post 2025 WwTW P permit:",""),"")</f>
        <v/>
      </c>
      <c r="G14" s="86" t="str">
        <f>IFERROR(IF(AND($D$9&lt;DATE(2025,1,1),(VLOOKUP($D$13,Lookups!$C$8:$G$89,2,FALSE))&gt;(VLOOKUP($D$13,Lookups!$C$8:$G$89,4,FALSE))), VLOOKUP('Stage 1'!D13,Lookups!C8:G92,4,FALSE),""),"")</f>
        <v/>
      </c>
      <c r="H14" s="27" t="str">
        <f>IFERROR(IF(AND($D$9&lt;DATE(2025,1,1),(VLOOKUP($D$13,Lookups!$C$8:$G$89,2,FALSE))&gt;(VLOOKUP($D$13,Lookups!$C$8:$G$89,4,FALSE))), "mg TP/litre",""),"")</f>
        <v/>
      </c>
      <c r="I14" s="9"/>
      <c r="J14" s="125"/>
      <c r="K14" s="165"/>
    </row>
    <row r="15" spans="1:11" ht="50.25" customHeight="1">
      <c r="A15" s="166"/>
      <c r="B15" s="1"/>
      <c r="C15" s="70" t="s">
        <v>209</v>
      </c>
      <c r="D15" s="82" t="str">
        <f>IFERROR(IF(OR(D13="Package Treatment Plant user defined",D13="Septic Tank user defined"),"Please enter value in cell to the right:",IF('Stage 1'!D9&lt;DATE(2025,1,1),VLOOKUP('Stage 1'!D13,Lookups!C8:G92, 3,FALSE), VLOOKUP('Stage 1'!D13,Lookups!C8:G91, 5,FALSE))),"")</f>
        <v/>
      </c>
      <c r="E15" s="119"/>
      <c r="F15" s="85" t="str">
        <f>IFERROR(IF(AND($D$9&lt;DATE(2025,1,1),(VLOOKUP($D$13,Lookups!$C$8:$G$89,3,FALSE))&gt;(VLOOKUP($D$13,Lookups!$C$8:$G$89,5,FALSE))), "Post 2025 WwTW N permit:",""),"")</f>
        <v/>
      </c>
      <c r="G15" s="86" t="str">
        <f>IFERROR(IF(AND($D$9&lt;DATE(2025,1,1),(VLOOKUP($D$13,Lookups!$C$8:$G$89,3,FALSE))&gt;(VLOOKUP($D$13,Lookups!$C$8:$G$89,5,FALSE))), VLOOKUP('Stage 1'!D13,Lookups!$C$8:$G$92,5,FALSE),""),"")</f>
        <v/>
      </c>
      <c r="H15" s="27" t="str">
        <f>IFERROR(IF(AND($D$9&lt;DATE(2025,1,1),(VLOOKUP($D$13,Lookups!$C$8:$G$89,3,FALSE))&gt;(VLOOKUP($D$13,Lookups!$C$8:$G$89,5,FALSE))), "mg TN/litre",""),"")</f>
        <v/>
      </c>
      <c r="I15" s="9"/>
      <c r="J15" s="151"/>
      <c r="K15" s="165"/>
    </row>
    <row r="16" spans="1:10" ht="18" customHeight="1">
      <c r="A16" s="166"/>
      <c r="B16" s="1"/>
      <c r="C16" s="1"/>
      <c r="D16" s="1"/>
      <c r="E16" s="1"/>
      <c r="F16" s="1"/>
      <c r="G16" s="1"/>
      <c r="H16" s="1"/>
      <c r="I16" s="1"/>
      <c r="J16" s="125"/>
    </row>
    <row r="17" spans="1:10" ht="18">
      <c r="A17" s="166"/>
      <c r="B17" s="1"/>
      <c r="C17" s="263" t="s">
        <v>194</v>
      </c>
      <c r="D17" s="263"/>
      <c r="E17" s="1"/>
      <c r="F17" s="1"/>
      <c r="G17" s="1"/>
      <c r="H17" s="1"/>
      <c r="I17" s="1"/>
      <c r="J17" s="125"/>
    </row>
    <row r="18" spans="1:10">
      <c r="A18" s="166"/>
      <c r="B18" s="1"/>
      <c r="C18" s="1"/>
      <c r="D18" s="1"/>
      <c r="E18" s="1"/>
      <c r="F18" s="1"/>
      <c r="G18" s="1"/>
      <c r="H18" s="1"/>
      <c r="I18" s="1"/>
      <c r="J18" s="157"/>
    </row>
    <row r="19" spans="1:14" ht="3.75" customHeight="1">
      <c r="A19" s="166"/>
      <c r="B19" s="1"/>
      <c r="C19" s="1"/>
      <c r="D19" s="1"/>
      <c r="E19" s="1"/>
      <c r="F19" s="1"/>
      <c r="G19" s="1"/>
      <c r="H19" s="1"/>
      <c r="I19" s="1"/>
      <c r="J19" s="157"/>
      <c r="N19" s="161" t="s">
        <v>135</v>
      </c>
    </row>
    <row r="20" spans="1:10" ht="17.25">
      <c r="A20" s="166"/>
      <c r="B20" s="1"/>
      <c r="C20" s="261" t="str">
        <f>IFERROR(IF(AND($D$9&lt;DATE(2025,1,1),OR((VLOOKUP($D$13,Lookups!$C$8:$G$89,2,FALSE))&gt;(VLOOKUP($D$13,Lookups!$C$8:$G$89,4,FALSE)),(VLOOKUP($D$13,Lookups!$C$8:$G$89,3,FALSE))&gt;(VLOOKUP($D$13,Lookups!$C$8:$G$89,5,FALSE)))),"Post-2025 Stage 1 Nutrient Loading","Stage 1 Nutrient Loading"),"")</f>
        <v/>
      </c>
      <c r="D20" s="261"/>
      <c r="E20" s="1"/>
      <c r="F20" s="1"/>
      <c r="G20" s="261" t="str">
        <f>IFERROR(IF(AND($D$9&lt;DATE(2025,1,1),OR((VLOOKUP($D$13,Lookups!$C$8:$G$89,2,FALSE))&gt;(VLOOKUP($D$13,Lookups!$C$8:$G$89,4,FALSE)),(VLOOKUP($D$13,Lookups!$C$8:$G$89,3,FALSE))&gt;(VLOOKUP($D$13,Lookups!$C$8:$G$89,5,FALSE)))),"Pre-2025 Stage 1 Nutrient Loading",""),"")</f>
        <v/>
      </c>
      <c r="H20" s="261"/>
      <c r="I20" s="1"/>
      <c r="J20" s="125"/>
    </row>
    <row r="21" spans="1:10">
      <c r="A21" s="166"/>
      <c r="B21" s="1"/>
      <c r="C21" s="1"/>
      <c r="D21" s="1"/>
      <c r="E21" s="1"/>
      <c r="F21" s="1"/>
      <c r="G21" s="1"/>
      <c r="H21" s="1"/>
      <c r="I21" s="1"/>
      <c r="J21" s="157"/>
    </row>
    <row r="22" spans="1:10" ht="17.25" thickBot="1">
      <c r="A22" s="166"/>
      <c r="B22" s="1"/>
      <c r="C22" s="61" t="s">
        <v>74</v>
      </c>
      <c r="D22" s="62" t="str">
        <f>IF(ISBLANK(D12),"",D10*D12)</f>
        <v/>
      </c>
      <c r="E22" s="29" t="s">
        <v>138</v>
      </c>
      <c r="F22" s="1"/>
      <c r="G22" s="20" t="str">
        <f>IFERROR(IF(AND($D$9&lt;DATE(2025,1,1),OR((VLOOKUP($D$13,Lookups!$C$8:$G$89,2,FALSE))&gt;(VLOOKUP($D$13,Lookups!$C$8:$G$89,4,FALSE)),(VLOOKUP($D$13,Lookups!$C$8:$G$89,3,FALSE))&gt;(VLOOKUP($D$13,Lookups!$C$8:$G$89,5,FALSE)))),"Annual wastewater TP load:",""),"")</f>
        <v/>
      </c>
      <c r="H22" s="22" t="str">
        <f>IFERROR(IF(AND($D$9&lt;DATE(2025,1,1),OR((VLOOKUP($D$13,Lookups!$C$8:$G$89,2,FALSE))&gt;(VLOOKUP($D$13,Lookups!$C$8:$G$89,4,FALSE)),(VLOOKUP($D$13,Lookups!$C$8:$G$89,3,FALSE))&gt;(VLOOKUP($D$13,Lookups!$C$8:$G$89,5,FALSE)))),IF(D14=8,(D14*D$23)/1000000*365.25,(D14*D$23*0.9)/1000000*365.25),""),"")</f>
        <v/>
      </c>
      <c r="I22" s="29" t="str">
        <f>IFERROR(IF(AND($D$9&lt;DATE(2025,1,1),OR((VLOOKUP($D$13,Lookups!$C$8:$G$89,2,FALSE))&gt;(VLOOKUP($D$13,Lookups!$C$8:$G$89,4,FALSE)),(VLOOKUP($D$13,Lookups!$C$8:$G$89,3,FALSE))&gt;(VLOOKUP($D$13,Lookups!$C$8:$G$89,5,FALSE)))),"kg TP/yr",""),"")</f>
        <v/>
      </c>
      <c r="J22" s="158"/>
    </row>
    <row r="23" spans="1:10" ht="15.75" thickBot="1">
      <c r="A23" s="166"/>
      <c r="B23" s="1"/>
      <c r="C23" s="28" t="s">
        <v>75</v>
      </c>
      <c r="D23" s="60" t="str">
        <f>IFERROR(D22*D11,"")</f>
        <v/>
      </c>
      <c r="E23" s="29" t="s">
        <v>76</v>
      </c>
      <c r="F23" s="1"/>
      <c r="G23" s="20" t="str">
        <f>IFERROR(IF(AND($D$9&lt;DATE(2025,1,1),OR((VLOOKUP($D$13,Lookups!$C$8:$G$89,2,FALSE))&gt;(VLOOKUP($D$13,Lookups!$C$8:$G$89,4,FALSE)),(VLOOKUP($D$13,Lookups!$C$8:$G$89,3,FALSE))&gt;(VLOOKUP($D$13,Lookups!$C$8:$G$89,5,FALSE)))),"Annual wastewater TN load:",""),"")</f>
        <v/>
      </c>
      <c r="H23" s="22" t="str">
        <f>IFERROR(IF(AND($D$9&lt;DATE(2025,1,1),OR((VLOOKUP($D$13,Lookups!$C$8:$G$89,2,FALSE))&gt;(VLOOKUP($D$13,Lookups!$C$8:$G$89,4,FALSE)),(VLOOKUP($D$13,Lookups!$C$8:$G$89,3,FALSE))&gt;(VLOOKUP($D$13,Lookups!$C$8:$G$89,5,FALSE)))),IF(D15=27,(D15*D$23)/1000000*365.25,(D15*D$23*0.9)/1000000*365.25),""),"")</f>
        <v/>
      </c>
      <c r="I23" s="29" t="str">
        <f>IFERROR(IF(AND($D$9&lt;DATE(2025,1,1),OR((VLOOKUP($D$13,Lookups!$C$8:$G$89,2,FALSE))&gt;(VLOOKUP($D$13,Lookups!$C$8:$G$89,4,FALSE)),(VLOOKUP($D$13,Lookups!$C$8:$G$89,3,FALSE))&gt;(VLOOKUP($D$13,Lookups!$C$8:$G$89,5,FALSE)))),"kg TN/yr",""),"")</f>
        <v/>
      </c>
      <c r="J23" s="125"/>
    </row>
    <row r="24" spans="1:10" hidden="1">
      <c r="A24" s="166"/>
      <c r="B24" s="1"/>
      <c r="C24" s="1"/>
      <c r="D24" s="1"/>
      <c r="E24" s="87"/>
      <c r="F24" s="1"/>
      <c r="G24" s="1"/>
      <c r="H24" s="1"/>
      <c r="I24" s="87"/>
      <c r="J24" s="125"/>
    </row>
    <row r="25" spans="1:11" hidden="1">
      <c r="A25" s="166"/>
      <c r="B25" s="1"/>
      <c r="C25" s="4"/>
      <c r="D25" s="4"/>
      <c r="E25" s="87"/>
      <c r="F25" s="1"/>
      <c r="G25" s="90"/>
      <c r="H25" s="90"/>
      <c r="I25" s="91"/>
      <c r="J25" s="159"/>
      <c r="K25" s="162"/>
    </row>
    <row r="26" spans="1:11" ht="15.75" hidden="1" thickBot="1">
      <c r="A26" s="166"/>
      <c r="B26" s="1"/>
      <c r="C26" s="61" t="s">
        <v>77</v>
      </c>
      <c r="D26" s="62" t="str">
        <f>IFERROR(IF(ISNUMBER(G14),G14*D23*0.9,IF(D14="Please enter value in cell to the right:",IF(AND(D14="Please enter value in cell to the right:",ISNUMBER(E14)),D23*E14, VLOOKUP((LEFT(D13,(LEN(D13)-13))&amp;" default"),Lookups!C88:E89,2,FALSE)*D23),IF(OR(D13="Package Treatment Plant default",D13="Septic Tank default"),D14*D23,IF(D14=8,D14*D23,D14*D23*0.9)))),"")</f>
        <v/>
      </c>
      <c r="E26" s="29" t="s">
        <v>78</v>
      </c>
      <c r="F26" s="1"/>
      <c r="G26" s="92"/>
      <c r="H26" s="90"/>
      <c r="I26" s="90"/>
      <c r="J26" s="160"/>
      <c r="K26" s="162"/>
    </row>
    <row r="27" spans="1:11" ht="15.75" hidden="1" thickBot="1">
      <c r="A27" s="166"/>
      <c r="B27" s="1"/>
      <c r="C27" s="28" t="s">
        <v>79</v>
      </c>
      <c r="D27" s="60" t="str">
        <f>IFERROR($D$26/1000000,"")</f>
        <v/>
      </c>
      <c r="E27" s="29" t="s">
        <v>80</v>
      </c>
      <c r="F27" s="1"/>
      <c r="G27" s="92"/>
      <c r="H27" s="96"/>
      <c r="I27" s="93"/>
      <c r="J27" s="160"/>
      <c r="K27" s="162"/>
    </row>
    <row r="28" spans="1:11" ht="15.75" hidden="1" thickBot="1">
      <c r="A28" s="166"/>
      <c r="B28" s="1"/>
      <c r="C28" s="63" t="s">
        <v>81</v>
      </c>
      <c r="D28" s="65" t="str">
        <f>IFERROR($D$27*365.25,"")</f>
        <v/>
      </c>
      <c r="E28" s="29" t="s">
        <v>82</v>
      </c>
      <c r="F28" s="1"/>
      <c r="G28" s="92"/>
      <c r="H28" s="97"/>
      <c r="I28" s="93"/>
      <c r="J28" s="160"/>
      <c r="K28" s="162"/>
    </row>
    <row r="29" spans="1:11">
      <c r="A29" s="166"/>
      <c r="B29" s="1"/>
      <c r="C29" s="64" t="s">
        <v>136</v>
      </c>
      <c r="D29" s="66" t="str">
        <f>D28</f>
        <v/>
      </c>
      <c r="E29" s="88" t="s">
        <v>82</v>
      </c>
      <c r="F29" s="1"/>
      <c r="G29" s="94"/>
      <c r="H29" s="98"/>
      <c r="I29" s="95"/>
      <c r="J29" s="160"/>
      <c r="K29" s="162"/>
    </row>
    <row r="30" spans="1:11" hidden="1">
      <c r="A30" s="166"/>
      <c r="B30" s="1"/>
      <c r="C30" s="1"/>
      <c r="D30" s="1"/>
      <c r="E30" s="87"/>
      <c r="F30" s="1"/>
      <c r="G30" s="90"/>
      <c r="H30" s="90"/>
      <c r="I30" s="91"/>
      <c r="J30" s="160"/>
      <c r="K30" s="162"/>
    </row>
    <row r="31" spans="1:11" hidden="1">
      <c r="A31" s="166"/>
      <c r="B31" s="1"/>
      <c r="C31" s="1"/>
      <c r="D31" s="1"/>
      <c r="E31" s="87"/>
      <c r="F31" s="1"/>
      <c r="G31" s="90"/>
      <c r="H31" s="90"/>
      <c r="I31" s="91"/>
      <c r="J31" s="160"/>
      <c r="K31" s="162"/>
    </row>
    <row r="32" spans="1:11" ht="15.75" hidden="1" thickBot="1">
      <c r="A32" s="166"/>
      <c r="B32" s="1"/>
      <c r="C32" s="28" t="s">
        <v>102</v>
      </c>
      <c r="D32" s="60" t="str">
        <f>IFERROR(IF(ISNUMBER(G15),G15*D23*0.9,IF(D15="Please enter value in cell to the right:",IF(AND(D15="Please enter value in cell to the right:",ISNUMBER(E15)),D23*E15, VLOOKUP((LEFT(D13,(LEN(D13)-13))&amp;" default"),Lookups!C88:E89,3,FALSE)*D23),IF(OR(D13="Package Treatment Plant default",D13="Septic Tank default"),D15*D23,IF(D15=27,D15*D23,D15*D23*0.9)))),"")</f>
        <v/>
      </c>
      <c r="E32" s="29" t="s">
        <v>103</v>
      </c>
      <c r="F32" s="1"/>
      <c r="G32" s="92"/>
      <c r="H32" s="96"/>
      <c r="I32" s="93"/>
      <c r="J32" s="160"/>
      <c r="K32" s="162"/>
    </row>
    <row r="33" spans="1:11" ht="15.75" hidden="1" thickBot="1">
      <c r="A33" s="166"/>
      <c r="B33" s="1"/>
      <c r="C33" s="67" t="s">
        <v>106</v>
      </c>
      <c r="D33" s="68" t="str">
        <f>IFERROR($D$32/1000000,"")</f>
        <v/>
      </c>
      <c r="E33" s="29" t="s">
        <v>104</v>
      </c>
      <c r="F33" s="1"/>
      <c r="G33" s="92"/>
      <c r="H33" s="96"/>
      <c r="I33" s="93"/>
      <c r="J33" s="160"/>
      <c r="K33" s="162"/>
    </row>
    <row r="34" spans="1:11" ht="15.75" hidden="1" thickBot="1">
      <c r="A34" s="166"/>
      <c r="B34" s="1"/>
      <c r="C34" s="67" t="s">
        <v>107</v>
      </c>
      <c r="D34" s="69" t="str">
        <f>IFERROR($D$33*365.25,"")</f>
        <v/>
      </c>
      <c r="E34" s="29" t="s">
        <v>105</v>
      </c>
      <c r="F34" s="1"/>
      <c r="G34" s="92"/>
      <c r="H34" s="97"/>
      <c r="I34" s="93"/>
      <c r="J34" s="160"/>
      <c r="K34" s="162"/>
    </row>
    <row r="35" spans="1:11">
      <c r="A35" s="166"/>
      <c r="B35" s="1"/>
      <c r="C35" s="20" t="s">
        <v>137</v>
      </c>
      <c r="D35" s="21" t="str">
        <f>D34</f>
        <v/>
      </c>
      <c r="E35" s="88" t="s">
        <v>105</v>
      </c>
      <c r="F35" s="1"/>
      <c r="G35" s="94"/>
      <c r="H35" s="98"/>
      <c r="I35" s="95"/>
      <c r="J35" s="160"/>
      <c r="K35" s="162"/>
    </row>
    <row r="36" spans="1:10" ht="15.75" thickBot="1">
      <c r="A36" s="166"/>
      <c r="B36" s="152"/>
      <c r="C36" s="138"/>
      <c r="D36" s="138"/>
      <c r="E36" s="138"/>
      <c r="F36" s="138"/>
      <c r="G36" s="138"/>
      <c r="H36" s="138"/>
      <c r="I36" s="138"/>
      <c r="J36" s="139"/>
    </row>
    <row r="37" ht="15.75" thickTop="1"/>
  </sheetData>
  <sheetProtection algorithmName="SHA-512" hashValue="WUN/mFmlMilMX0P8wQ/0DwY6u6wKQC51i+F5jYik9FC1NG1onIu8LHjsMoBTh4sddzREu61JJJpV7YUvSLTiEg==" saltValue="LyJgAIbkXfZFIVLuslR04Q==" spinCount="100000" sheet="1" selectLockedCells="1"/>
  <mergeCells count="6">
    <mergeCell ref="B3:J5"/>
    <mergeCell ref="C20:D20"/>
    <mergeCell ref="G20:H20"/>
    <mergeCell ref="G10:G13"/>
    <mergeCell ref="C17:D17"/>
    <mergeCell ref="C7:D7"/>
  </mergeCells>
  <conditionalFormatting sqref="E14:E15">
    <cfRule type="expression" dxfId="9" priority="10">
      <formula>OR(ISNUMBER($D$15),ISBLANK($D$13))</formula>
    </cfRule>
    <cfRule type="expression" dxfId="8" priority="11">
      <formula>($D$15="Please enter value in cell to the right:")</formula>
    </cfRule>
  </conditionalFormatting>
  <conditionalFormatting sqref="G14">
    <cfRule type="expression" dxfId="7" priority="5">
      <formula>ISNUMBER($G$14)</formula>
    </cfRule>
  </conditionalFormatting>
  <conditionalFormatting sqref="G10 H9:H15">
    <cfRule type="expression" dxfId="6" priority="12">
      <formula>_xlfn.ISFORMULA($G$10)</formula>
    </cfRule>
    <cfRule type="expression" dxfId="5" priority="13">
      <formula>ISTEXT($G$10)</formula>
    </cfRule>
  </conditionalFormatting>
  <conditionalFormatting sqref="G15">
    <cfRule type="expression" dxfId="4" priority="4">
      <formula>ISNUMBER($G$15)</formula>
    </cfRule>
  </conditionalFormatting>
  <conditionalFormatting sqref="H22">
    <cfRule type="expression" dxfId="3" priority="2">
      <formula>ISNUMBER($H$22)</formula>
    </cfRule>
  </conditionalFormatting>
  <conditionalFormatting sqref="H23">
    <cfRule type="expression" dxfId="2" priority="1">
      <formula>ISNUMBER(H23)</formula>
    </cfRule>
  </conditionalFormatting>
  <dataValidations count="6">
    <dataValidation type="date" operator="greaterThan" allowBlank="1" showInputMessage="1" showErrorMessage="1" errorTitle="Date Error" error="Please enter a date after 01/01/2022 date in correct dd/mm/yyyy format." prompt="Enter date as dd/mm/yyyy format. " sqref="D9">
      <formula1>44562</formula1>
    </dataValidation>
    <dataValidation type="decimal" operator="greaterThan" showInputMessage="1" showErrorMessage="1" prompt="The average occupancy rate (people per dwelling/unit) should not be edited unless there is sufficient evidence." sqref="D10">
      <formula1>0</formula1>
    </dataValidation>
    <dataValidation type="whole" operator="greaterThan" showInputMessage="1" showErrorMessage="1" errorTitle="Water usage:" error="Please enter a whole number in litres/person/day" prompt="Keep as 120 unless other efficiency measures are used. " sqref="D11">
      <formula1>0</formula1>
    </dataValidation>
    <dataValidation type="whole" operator="greaterThan" allowBlank="1" showInputMessage="1" showErrorMessage="1" errorTitle="Development proposal" error="Please ensure that the total number of dwellings is entered as a whole number" prompt="Please enter the total number of dwellings/unit that will be within the development site as of the project completion date." sqref="D12">
      <formula1>0</formula1>
    </dataValidation>
    <dataValidation type="list" allowBlank="1" showInputMessage="1" showErrorMessage="1" sqref="J8:J10">
      <formula1>'[1]Stage 2 and 3 lookups'!#REF!</formula1>
    </dataValidation>
    <dataValidation type="list" allowBlank="1" showInputMessage="1" showErrorMessage="1" sqref="D13">
      <formula1>Lookups!$C$8:$C$91</formula1>
    </dataValidation>
  </dataValidations>
  <pageMargins left="0.7" right="0.7" top="0.75" bottom="0.75" header="0.3" footer="0.3"/>
  <pageSetup paperSize="9" orientation="portrait"/>
  <headerFooter scaleWithDoc="1" alignWithMargins="0" differentFirst="0" differentOddEven="0"/>
  <extLst/>
</worksheet>
</file>

<file path=xl/worksheets/sheet7.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3:J34"/>
  <sheetViews>
    <sheetView showRowColHeaders="0" view="normal" workbookViewId="0">
      <selection pane="topLeft" activeCell="E9" sqref="E9"/>
    </sheetView>
  </sheetViews>
  <sheetFormatPr defaultColWidth="9.140625" defaultRowHeight="15"/>
  <cols>
    <col min="1" max="1" width="9.140625" style="140" customWidth="1"/>
    <col min="2" max="2" width="4.7109375" style="140" customWidth="1"/>
    <col min="3" max="3" width="32.140625" style="140" customWidth="1"/>
    <col min="4" max="4" width="8.41796875" style="140" bestFit="1" customWidth="1"/>
    <col min="5" max="5" width="21.140625" style="140" customWidth="1"/>
    <col min="6" max="6" width="17.7109375" style="140" customWidth="1"/>
    <col min="7" max="7" width="5.41796875" style="140" customWidth="1"/>
    <col min="8" max="8" width="8.140625" style="140" customWidth="1"/>
    <col min="9" max="9" width="9.140625" style="140" customWidth="1"/>
    <col min="10" max="10" width="26.140625" style="140" customWidth="1"/>
    <col min="11" max="16384" width="9.140625" style="140" customWidth="1"/>
  </cols>
  <sheetData>
    <row r="3" spans="1:7">
      <c r="A3" s="141"/>
      <c r="B3" s="258" t="s">
        <v>199</v>
      </c>
      <c r="C3" s="265"/>
      <c r="D3" s="265"/>
      <c r="E3" s="265"/>
      <c r="F3" s="265"/>
      <c r="G3" s="260"/>
    </row>
    <row r="4" spans="1:7">
      <c r="A4" s="141"/>
      <c r="B4" s="258"/>
      <c r="C4" s="265"/>
      <c r="D4" s="265"/>
      <c r="E4" s="265"/>
      <c r="F4" s="265"/>
      <c r="G4" s="260"/>
    </row>
    <row r="5" spans="1:7">
      <c r="A5" s="141"/>
      <c r="B5" s="258"/>
      <c r="C5" s="265"/>
      <c r="D5" s="265"/>
      <c r="E5" s="265"/>
      <c r="F5" s="265"/>
      <c r="G5" s="260"/>
    </row>
    <row r="6" spans="1:7" ht="17.25">
      <c r="A6" s="141"/>
      <c r="B6" s="4"/>
      <c r="C6" s="1"/>
      <c r="D6" s="1"/>
      <c r="E6" s="1"/>
      <c r="F6" s="1"/>
      <c r="G6" s="150"/>
    </row>
    <row r="7" spans="1:7" ht="18" customHeight="1">
      <c r="A7" s="141"/>
      <c r="B7" s="4"/>
      <c r="C7" s="266" t="s">
        <v>195</v>
      </c>
      <c r="D7" s="266"/>
      <c r="E7" s="266"/>
      <c r="F7" s="266"/>
      <c r="G7" s="149"/>
    </row>
    <row r="8" spans="1:7" ht="12" customHeight="1">
      <c r="A8" s="141"/>
      <c r="B8" s="4"/>
      <c r="C8" s="1"/>
      <c r="D8" s="1"/>
      <c r="E8" s="1"/>
      <c r="F8" s="1"/>
      <c r="G8" s="149"/>
    </row>
    <row r="9" spans="1:7" ht="18" thickBot="1">
      <c r="A9" s="141"/>
      <c r="B9" s="4"/>
      <c r="C9" s="264" t="s">
        <v>71</v>
      </c>
      <c r="D9" s="264"/>
      <c r="E9" s="107"/>
      <c r="F9" s="1"/>
      <c r="G9" s="149"/>
    </row>
    <row r="10" spans="1:7" ht="18" thickBot="1">
      <c r="A10" s="141"/>
      <c r="B10" s="4"/>
      <c r="C10" s="73" t="s">
        <v>83</v>
      </c>
      <c r="D10" s="73"/>
      <c r="E10" s="108"/>
      <c r="F10" s="1"/>
      <c r="G10" s="151"/>
    </row>
    <row r="11" spans="1:7" ht="18" thickBot="1">
      <c r="A11" s="141"/>
      <c r="B11" s="4"/>
      <c r="C11" s="73" t="s">
        <v>211</v>
      </c>
      <c r="D11" s="73"/>
      <c r="E11" s="109"/>
      <c r="F11" s="1"/>
      <c r="G11" s="151"/>
    </row>
    <row r="12" spans="1:7">
      <c r="A12" s="141"/>
      <c r="B12" s="1"/>
      <c r="C12" s="16" t="s">
        <v>210</v>
      </c>
      <c r="D12" s="16"/>
      <c r="E12" s="110"/>
      <c r="F12" s="1"/>
      <c r="G12" s="125"/>
    </row>
    <row r="13" spans="1:7">
      <c r="A13" s="141"/>
      <c r="B13" s="1"/>
      <c r="C13" s="1"/>
      <c r="D13" s="1"/>
      <c r="E13" s="1"/>
      <c r="F13" s="1"/>
      <c r="G13" s="125"/>
    </row>
    <row r="14" spans="1:7" ht="63" customHeight="1" thickBot="1">
      <c r="A14" s="141"/>
      <c r="B14" s="1"/>
      <c r="C14" s="76" t="s">
        <v>145</v>
      </c>
      <c r="D14" s="77" t="s">
        <v>98</v>
      </c>
      <c r="E14" s="77" t="s">
        <v>197</v>
      </c>
      <c r="F14" s="78" t="s">
        <v>198</v>
      </c>
      <c r="G14" s="125"/>
    </row>
    <row r="15" spans="1:10">
      <c r="A15" s="141"/>
      <c r="B15" s="1"/>
      <c r="C15" s="111"/>
      <c r="D15" s="186"/>
      <c r="E15" s="185" t="str">
        <f>IF(OR(ISBLANK($C15),ISBLANK($D15),ISBLANK($E$10),ISBLANK($E$11)),"",IFERROR($D15*VLOOKUP((IF(OR($C15="Residential urban land",$C15="Commercial/industrial urban land",$C15="Open urban land",$C15="Greenspace",$C15="Community food growing",$C15="Woodland",$C15="Shrub", $C15="Water"), "|||"&amp;$C15, (VLOOKUP('Stage 2'!$E$9,Lookups!$C$480:$D$482,2,FALSE)&amp;"|"&amp;$C15&amp;"|"&amp;VLOOKUP('Stage 2'!$E$12,Lookups!$C$496:$D$497,2,FALSE)&amp;"|"&amp;VLOOKUP('Stage 2'!$E$11,Lookups!$C$454:$E$476,3,FALSE)&amp;"|"&amp;VLOOKUP($E$10,Lookups!$C$487:$D$492,2,FALSE)))),Lookups!$H$95:$J$450,2,FALSE),IFERROR(IFERROR($D15*VLOOKUP($C15&amp;"|"&amp;VLOOKUP('Stage 2'!$E$12,Lookups!$C$496:$D$497,2,FALSE)&amp;"|"&amp;VLOOKUP('Stage 2'!$E$11,Lookups!$C$454:$E$476,3,FALSE)&amp;"|"&amp;VLOOKUP($E$10,Lookups!$C$487:$D$492,2,FALSE),Lookups!$H$95:$J$450,2,FALSE),IFERROR($D15*VLOOKUP($C15&amp;"|"&amp;"TRUE"&amp;"|"&amp;VLOOKUP('Stage 2'!$E$11,Lookups!$C$454:$E$476,3,FALSE)&amp;"|"&amp;VLOOKUP($E$10,Lookups!$C$487:$D$492,2,FALSE),Lookups!$H$95:$J$450,2,FALSE),$D15*VLOOKUP($C15&amp;"|"&amp;VLOOKUP('Stage 2'!$E$12,Lookups!$C$496:$D$497,2,FALSE)&amp;"|"&amp;VLOOKUP('Stage 2'!$E$11,Lookups!$C$454:$E$476,3,FALSE)&amp;"|"&amp;"DrainedArGr",Lookups!$H$95:$J$450,2,FALSE))),IFERROR($D15*VLOOKUP($C15&amp;"|"&amp;VLOOKUP('Stage 2'!$E$11,Lookups!$C$454:$E$476,3,FALSE),Lookups!$K$95:$M$450,2,FALSE),$D15*VLOOKUP($C15,Lookups!$D$95:$O$450,11,FALSE)))))</f>
        <v/>
      </c>
      <c r="F15" s="184" t="str">
        <f>IF(OR(ISBLANK($C15),ISBLANK($D15),ISBLANK($E$10),ISBLANK($E$11)),"",IFERROR($D15*VLOOKUP((IF(OR($C15="Residential urban land",$C15="Commercial/industrial urban land",$C15="Open urban land",$C15="Greenspace",$C15="Community food growing",$C15="Woodland",$C15="Shrub", $C15="Water"), "|||"&amp;$C15, (VLOOKUP('Stage 2'!$E$9,Lookups!$C$480:$D$482,2,FALSE)&amp;"|"&amp;$C15&amp;"|"&amp;VLOOKUP('Stage 2'!$E$12,Lookups!$C$496:$D$497,2,FALSE)&amp;"|"&amp;VLOOKUP('Stage 2'!$E$11,Lookups!$C$454:$E$476,3,FALSE)&amp;"|"&amp;VLOOKUP($E$10,Lookups!$C$487:$D$492,2,FALSE)))),Lookups!$H$95:$J$450,3,FALSE),IFERROR(IFERROR($D15*VLOOKUP($C15&amp;"|"&amp;VLOOKUP('Stage 2'!$E$12,Lookups!$C$496:$D$497,2,FALSE)&amp;"|"&amp;VLOOKUP('Stage 2'!$E$11,Lookups!$C$454:$E$476,3,FALSE)&amp;"|"&amp;VLOOKUP($E$10,Lookups!$C$487:$D$492,2,FALSE),Lookups!$H$95:$J$450,3,FALSE),IFERROR($D15*VLOOKUP($C15&amp;"|"&amp;"TRUE"&amp;"|"&amp;VLOOKUP('Stage 2'!$E$11,Lookups!$C$454:$E$476,3,FALSE)&amp;"|"&amp;VLOOKUP($E$10,Lookups!$C$487:$D$492,2,FALSE),Lookups!$H$95:$J$450,3,FALSE),$D15*VLOOKUP($C15&amp;"|"&amp;VLOOKUP('Stage 2'!$E$12,Lookups!$C$496:$D$497,2,FALSE)&amp;"|"&amp;VLOOKUP('Stage 2'!$E$11,Lookups!$C$454:$E$476,3,FALSE)&amp;"|"&amp;"DrainedArGr",Lookups!$H$95:$J$450,3,FALSE))),IFERROR($D15*VLOOKUP($C15&amp;"|"&amp;VLOOKUP('Stage 2'!$E$11,Lookups!$C$454:$E$476,3,FALSE),Lookups!$K$95:$M$450,3,FALSE),$D15*VLOOKUP($C15,Lookups!$D$95:$O$450,12,FALSE)))))</f>
        <v/>
      </c>
      <c r="G15" s="167"/>
      <c r="H15" s="168"/>
      <c r="I15" s="168"/>
      <c r="J15" s="168"/>
    </row>
    <row r="16" spans="1:10">
      <c r="A16" s="141"/>
      <c r="B16" s="1"/>
      <c r="C16" s="111"/>
      <c r="D16" s="112"/>
      <c r="E16" s="185" t="str">
        <f>IF(OR(ISBLANK($C16),ISBLANK($D16),ISBLANK($E$10),ISBLANK($E$11)),"",IFERROR($D16*VLOOKUP((IF(OR($C16="Residential urban land",$C16="Commercial/industrial urban land",$C16="Open urban land",$C16="Greenspace",$C16="Community food growing",$C16="Woodland",$C16="Shrub", $C16="Water"), "|||"&amp;$C16, (VLOOKUP('Stage 2'!$E$9,Lookups!$C$480:$D$482,2,FALSE)&amp;"|"&amp;$C16&amp;"|"&amp;VLOOKUP('Stage 2'!$E$12,Lookups!$C$496:$D$497,2,FALSE)&amp;"|"&amp;VLOOKUP('Stage 2'!$E$11,Lookups!$C$454:$E$476,3,FALSE)&amp;"|"&amp;VLOOKUP($E$10,Lookups!$C$487:$D$492,2,FALSE)))),Lookups!$H$95:$J$450,2,FALSE),IFERROR(IFERROR($D16*VLOOKUP($C16&amp;"|"&amp;VLOOKUP('Stage 2'!$E$12,Lookups!$C$496:$D$497,2,FALSE)&amp;"|"&amp;VLOOKUP('Stage 2'!$E$11,Lookups!$C$454:$E$476,3,FALSE)&amp;"|"&amp;VLOOKUP($E$10,Lookups!$C$487:$D$492,2,FALSE),Lookups!$H$95:$J$450,2,FALSE),IFERROR($D16*VLOOKUP($C16&amp;"|"&amp;"TRUE"&amp;"|"&amp;VLOOKUP('Stage 2'!$E$11,Lookups!$C$454:$E$476,3,FALSE)&amp;"|"&amp;VLOOKUP($E$10,Lookups!$C$487:$D$492,2,FALSE),Lookups!$H$95:$J$450,2,FALSE),$D16*VLOOKUP($C16&amp;"|"&amp;VLOOKUP('Stage 2'!$E$12,Lookups!$C$496:$D$497,2,FALSE)&amp;"|"&amp;VLOOKUP('Stage 2'!$E$11,Lookups!$C$454:$E$476,3,FALSE)&amp;"|"&amp;"DrainedArGr",Lookups!$H$95:$J$450,2,FALSE))),IFERROR($D16*VLOOKUP($C16&amp;"|"&amp;VLOOKUP('Stage 2'!$E$11,Lookups!$C$454:$E$476,3,FALSE),Lookups!$K$95:$M$450,2,FALSE),$D16*VLOOKUP($C16,Lookups!$D$95:$O$450,11,FALSE)))))</f>
        <v/>
      </c>
      <c r="F16" s="184" t="str">
        <f>IF(OR(ISBLANK($C16),ISBLANK($D16),ISBLANK($E$10),ISBLANK($E$11)),"",IFERROR($D16*VLOOKUP((IF(OR($C16="Residential urban land",$C16="Commercial/industrial urban land",$C16="Open urban land",$C16="Greenspace",$C16="Community food growing",$C16="Woodland",$C16="Shrub", $C16="Water"), "|||"&amp;$C16, (VLOOKUP('Stage 2'!$E$9,Lookups!$C$480:$D$482,2,FALSE)&amp;"|"&amp;$C16&amp;"|"&amp;VLOOKUP('Stage 2'!$E$12,Lookups!$C$496:$D$497,2,FALSE)&amp;"|"&amp;VLOOKUP('Stage 2'!$E$11,Lookups!$C$454:$E$476,3,FALSE)&amp;"|"&amp;VLOOKUP($E$10,Lookups!$C$487:$D$492,2,FALSE)))),Lookups!$H$95:$J$450,3,FALSE),IFERROR(IFERROR($D16*VLOOKUP($C16&amp;"|"&amp;VLOOKUP('Stage 2'!$E$12,Lookups!$C$496:$D$497,2,FALSE)&amp;"|"&amp;VLOOKUP('Stage 2'!$E$11,Lookups!$C$454:$E$476,3,FALSE)&amp;"|"&amp;VLOOKUP($E$10,Lookups!$C$487:$D$492,2,FALSE),Lookups!$H$95:$J$450,3,FALSE),IFERROR($D16*VLOOKUP($C16&amp;"|"&amp;"TRUE"&amp;"|"&amp;VLOOKUP('Stage 2'!$E$11,Lookups!$C$454:$E$476,3,FALSE)&amp;"|"&amp;VLOOKUP($E$10,Lookups!$C$487:$D$492,2,FALSE),Lookups!$H$95:$J$450,3,FALSE),$D16*VLOOKUP($C16&amp;"|"&amp;VLOOKUP('Stage 2'!$E$12,Lookups!$C$496:$D$497,2,FALSE)&amp;"|"&amp;VLOOKUP('Stage 2'!$E$11,Lookups!$C$454:$E$476,3,FALSE)&amp;"|"&amp;"DrainedArGr",Lookups!$H$95:$J$450,3,FALSE))),IFERROR($D16*VLOOKUP($C16&amp;"|"&amp;VLOOKUP('Stage 2'!$E$11,Lookups!$C$454:$E$476,3,FALSE),Lookups!$K$95:$M$450,3,FALSE),$D16*VLOOKUP($C16,Lookups!$D$95:$O$450,12,FALSE)))))</f>
        <v/>
      </c>
      <c r="G16" s="167"/>
      <c r="H16" s="168"/>
      <c r="I16" s="168"/>
      <c r="J16" s="168"/>
    </row>
    <row r="17" spans="1:10">
      <c r="A17" s="141"/>
      <c r="B17" s="1"/>
      <c r="C17" s="111"/>
      <c r="D17" s="112"/>
      <c r="E17" s="185" t="str">
        <f>IF(OR(ISBLANK($C17),ISBLANK($D17),ISBLANK($E$10),ISBLANK($E$11)),"",IFERROR($D17*VLOOKUP((IF(OR($C17="Residential urban land",$C17="Commercial/industrial urban land",$C17="Open urban land",$C17="Greenspace",$C17="Community food growing",$C17="Woodland",$C17="Shrub", $C17="Water"), "|||"&amp;$C17, (VLOOKUP('Stage 2'!$E$9,Lookups!$C$480:$D$482,2,FALSE)&amp;"|"&amp;$C17&amp;"|"&amp;VLOOKUP('Stage 2'!$E$12,Lookups!$C$496:$D$497,2,FALSE)&amp;"|"&amp;VLOOKUP('Stage 2'!$E$11,Lookups!$C$454:$E$476,3,FALSE)&amp;"|"&amp;VLOOKUP($E$10,Lookups!$C$487:$D$492,2,FALSE)))),Lookups!$H$95:$J$450,2,FALSE),IFERROR(IFERROR($D17*VLOOKUP($C17&amp;"|"&amp;VLOOKUP('Stage 2'!$E$12,Lookups!$C$496:$D$497,2,FALSE)&amp;"|"&amp;VLOOKUP('Stage 2'!$E$11,Lookups!$C$454:$E$476,3,FALSE)&amp;"|"&amp;VLOOKUP($E$10,Lookups!$C$487:$D$492,2,FALSE),Lookups!$H$95:$J$450,2,FALSE),IFERROR($D17*VLOOKUP($C17&amp;"|"&amp;"TRUE"&amp;"|"&amp;VLOOKUP('Stage 2'!$E$11,Lookups!$C$454:$E$476,3,FALSE)&amp;"|"&amp;VLOOKUP($E$10,Lookups!$C$487:$D$492,2,FALSE),Lookups!$H$95:$J$450,2,FALSE),$D17*VLOOKUP($C17&amp;"|"&amp;VLOOKUP('Stage 2'!$E$12,Lookups!$C$496:$D$497,2,FALSE)&amp;"|"&amp;VLOOKUP('Stage 2'!$E$11,Lookups!$C$454:$E$476,3,FALSE)&amp;"|"&amp;"DrainedArGr",Lookups!$H$95:$J$450,2,FALSE))),IFERROR($D17*VLOOKUP($C17&amp;"|"&amp;VLOOKUP('Stage 2'!$E$11,Lookups!$C$454:$E$476,3,FALSE),Lookups!$K$95:$M$450,2,FALSE),$D17*VLOOKUP($C17,Lookups!$D$95:$O$450,11,FALSE)))))</f>
        <v/>
      </c>
      <c r="F17" s="184" t="str">
        <f>IF(OR(ISBLANK($C17),ISBLANK($D17),ISBLANK($E$10),ISBLANK($E$11)),"",IFERROR($D17*VLOOKUP((IF(OR($C17="Residential urban land",$C17="Commercial/industrial urban land",$C17="Open urban land",$C17="Greenspace",$C17="Community food growing",$C17="Woodland",$C17="Shrub", $C17="Water"), "|||"&amp;$C17, (VLOOKUP('Stage 2'!$E$9,Lookups!$C$480:$D$482,2,FALSE)&amp;"|"&amp;$C17&amp;"|"&amp;VLOOKUP('Stage 2'!$E$12,Lookups!$C$496:$D$497,2,FALSE)&amp;"|"&amp;VLOOKUP('Stage 2'!$E$11,Lookups!$C$454:$E$476,3,FALSE)&amp;"|"&amp;VLOOKUP($E$10,Lookups!$C$487:$D$492,2,FALSE)))),Lookups!$H$95:$J$450,3,FALSE),IFERROR(IFERROR($D17*VLOOKUP($C17&amp;"|"&amp;VLOOKUP('Stage 2'!$E$12,Lookups!$C$496:$D$497,2,FALSE)&amp;"|"&amp;VLOOKUP('Stage 2'!$E$11,Lookups!$C$454:$E$476,3,FALSE)&amp;"|"&amp;VLOOKUP($E$10,Lookups!$C$487:$D$492,2,FALSE),Lookups!$H$95:$J$450,3,FALSE),IFERROR($D17*VLOOKUP($C17&amp;"|"&amp;"TRUE"&amp;"|"&amp;VLOOKUP('Stage 2'!$E$11,Lookups!$C$454:$E$476,3,FALSE)&amp;"|"&amp;VLOOKUP($E$10,Lookups!$C$487:$D$492,2,FALSE),Lookups!$H$95:$J$450,3,FALSE),$D17*VLOOKUP($C17&amp;"|"&amp;VLOOKUP('Stage 2'!$E$12,Lookups!$C$496:$D$497,2,FALSE)&amp;"|"&amp;VLOOKUP('Stage 2'!$E$11,Lookups!$C$454:$E$476,3,FALSE)&amp;"|"&amp;"DrainedArGr",Lookups!$H$95:$J$450,3,FALSE))),IFERROR($D17*VLOOKUP($C17&amp;"|"&amp;VLOOKUP('Stage 2'!$E$11,Lookups!$C$454:$E$476,3,FALSE),Lookups!$K$95:$M$450,3,FALSE),$D17*VLOOKUP($C17,Lookups!$D$95:$O$450,12,FALSE)))))</f>
        <v/>
      </c>
      <c r="G17" s="167"/>
      <c r="H17" s="168"/>
      <c r="I17" s="168"/>
      <c r="J17" s="168"/>
    </row>
    <row r="18" spans="1:10">
      <c r="A18" s="141"/>
      <c r="B18" s="1"/>
      <c r="C18" s="111"/>
      <c r="D18" s="112"/>
      <c r="E18" s="185" t="str">
        <f>IF(OR(ISBLANK($C18),ISBLANK($D18),ISBLANK($E$10),ISBLANK($E$11)),"",IFERROR($D18*VLOOKUP((IF(OR($C18="Residential urban land",$C18="Commercial/industrial urban land",$C18="Open urban land",$C18="Greenspace",$C18="Community food growing",$C18="Woodland",$C18="Shrub", $C18="Water"), "|||"&amp;$C18, (VLOOKUP('Stage 2'!$E$9,Lookups!$C$480:$D$482,2,FALSE)&amp;"|"&amp;$C18&amp;"|"&amp;VLOOKUP('Stage 2'!$E$12,Lookups!$C$496:$D$497,2,FALSE)&amp;"|"&amp;VLOOKUP('Stage 2'!$E$11,Lookups!$C$454:$E$476,3,FALSE)&amp;"|"&amp;VLOOKUP($E$10,Lookups!$C$487:$D$492,2,FALSE)))),Lookups!$H$95:$J$450,2,FALSE),IFERROR(IFERROR($D18*VLOOKUP($C18&amp;"|"&amp;VLOOKUP('Stage 2'!$E$12,Lookups!$C$496:$D$497,2,FALSE)&amp;"|"&amp;VLOOKUP('Stage 2'!$E$11,Lookups!$C$454:$E$476,3,FALSE)&amp;"|"&amp;VLOOKUP($E$10,Lookups!$C$487:$D$492,2,FALSE),Lookups!$H$95:$J$450,2,FALSE),IFERROR($D18*VLOOKUP($C18&amp;"|"&amp;"TRUE"&amp;"|"&amp;VLOOKUP('Stage 2'!$E$11,Lookups!$C$454:$E$476,3,FALSE)&amp;"|"&amp;VLOOKUP($E$10,Lookups!$C$487:$D$492,2,FALSE),Lookups!$H$95:$J$450,2,FALSE),$D18*VLOOKUP($C18&amp;"|"&amp;VLOOKUP('Stage 2'!$E$12,Lookups!$C$496:$D$497,2,FALSE)&amp;"|"&amp;VLOOKUP('Stage 2'!$E$11,Lookups!$C$454:$E$476,3,FALSE)&amp;"|"&amp;"DrainedArGr",Lookups!$H$95:$J$450,2,FALSE))),IFERROR($D18*VLOOKUP($C18&amp;"|"&amp;VLOOKUP('Stage 2'!$E$11,Lookups!$C$454:$E$476,3,FALSE),Lookups!$K$95:$M$450,2,FALSE),$D18*VLOOKUP($C18,Lookups!$D$95:$O$450,11,FALSE)))))</f>
        <v/>
      </c>
      <c r="F18" s="184" t="str">
        <f>IF(OR(ISBLANK($C18),ISBLANK($D18),ISBLANK($E$10),ISBLANK($E$11)),"",IFERROR($D18*VLOOKUP((IF(OR($C18="Residential urban land",$C18="Commercial/industrial urban land",$C18="Open urban land",$C18="Greenspace",$C18="Community food growing",$C18="Woodland",$C18="Shrub", $C18="Water"), "|||"&amp;$C18, (VLOOKUP('Stage 2'!$E$9,Lookups!$C$480:$D$482,2,FALSE)&amp;"|"&amp;$C18&amp;"|"&amp;VLOOKUP('Stage 2'!$E$12,Lookups!$C$496:$D$497,2,FALSE)&amp;"|"&amp;VLOOKUP('Stage 2'!$E$11,Lookups!$C$454:$E$476,3,FALSE)&amp;"|"&amp;VLOOKUP($E$10,Lookups!$C$487:$D$492,2,FALSE)))),Lookups!$H$95:$J$450,3,FALSE),IFERROR(IFERROR($D18*VLOOKUP($C18&amp;"|"&amp;VLOOKUP('Stage 2'!$E$12,Lookups!$C$496:$D$497,2,FALSE)&amp;"|"&amp;VLOOKUP('Stage 2'!$E$11,Lookups!$C$454:$E$476,3,FALSE)&amp;"|"&amp;VLOOKUP($E$10,Lookups!$C$487:$D$492,2,FALSE),Lookups!$H$95:$J$450,3,FALSE),IFERROR($D18*VLOOKUP($C18&amp;"|"&amp;"TRUE"&amp;"|"&amp;VLOOKUP('Stage 2'!$E$11,Lookups!$C$454:$E$476,3,FALSE)&amp;"|"&amp;VLOOKUP($E$10,Lookups!$C$487:$D$492,2,FALSE),Lookups!$H$95:$J$450,3,FALSE),$D18*VLOOKUP($C18&amp;"|"&amp;VLOOKUP('Stage 2'!$E$12,Lookups!$C$496:$D$497,2,FALSE)&amp;"|"&amp;VLOOKUP('Stage 2'!$E$11,Lookups!$C$454:$E$476,3,FALSE)&amp;"|"&amp;"DrainedArGr",Lookups!$H$95:$J$450,3,FALSE))),IFERROR($D18*VLOOKUP($C18&amp;"|"&amp;VLOOKUP('Stage 2'!$E$11,Lookups!$C$454:$E$476,3,FALSE),Lookups!$K$95:$M$450,3,FALSE),$D18*VLOOKUP($C18,Lookups!$D$95:$O$450,12,FALSE)))))</f>
        <v/>
      </c>
      <c r="G18" s="167"/>
      <c r="H18" s="168"/>
      <c r="I18" s="168"/>
      <c r="J18" s="168"/>
    </row>
    <row r="19" spans="1:10">
      <c r="A19" s="141"/>
      <c r="B19" s="1"/>
      <c r="C19" s="111"/>
      <c r="D19" s="112"/>
      <c r="E19" s="185" t="str">
        <f>IF(OR(ISBLANK($C19),ISBLANK($D19),ISBLANK($E$10),ISBLANK($E$11)),"",IFERROR($D19*VLOOKUP((IF(OR($C19="Residential urban land",$C19="Commercial/industrial urban land",$C19="Open urban land",$C19="Greenspace",$C19="Community food growing",$C19="Woodland",$C19="Shrub", $C19="Water"), "|||"&amp;$C19, (VLOOKUP('Stage 2'!$E$9,Lookups!$C$480:$D$482,2,FALSE)&amp;"|"&amp;$C19&amp;"|"&amp;VLOOKUP('Stage 2'!$E$12,Lookups!$C$496:$D$497,2,FALSE)&amp;"|"&amp;VLOOKUP('Stage 2'!$E$11,Lookups!$C$454:$E$476,3,FALSE)&amp;"|"&amp;VLOOKUP($E$10,Lookups!$C$487:$D$492,2,FALSE)))),Lookups!$H$95:$J$450,2,FALSE),IFERROR(IFERROR($D19*VLOOKUP($C19&amp;"|"&amp;VLOOKUP('Stage 2'!$E$12,Lookups!$C$496:$D$497,2,FALSE)&amp;"|"&amp;VLOOKUP('Stage 2'!$E$11,Lookups!$C$454:$E$476,3,FALSE)&amp;"|"&amp;VLOOKUP($E$10,Lookups!$C$487:$D$492,2,FALSE),Lookups!$H$95:$J$450,2,FALSE),IFERROR($D19*VLOOKUP($C19&amp;"|"&amp;"TRUE"&amp;"|"&amp;VLOOKUP('Stage 2'!$E$11,Lookups!$C$454:$E$476,3,FALSE)&amp;"|"&amp;VLOOKUP($E$10,Lookups!$C$487:$D$492,2,FALSE),Lookups!$H$95:$J$450,2,FALSE),$D19*VLOOKUP($C19&amp;"|"&amp;VLOOKUP('Stage 2'!$E$12,Lookups!$C$496:$D$497,2,FALSE)&amp;"|"&amp;VLOOKUP('Stage 2'!$E$11,Lookups!$C$454:$E$476,3,FALSE)&amp;"|"&amp;"DrainedArGr",Lookups!$H$95:$J$450,2,FALSE))),IFERROR($D19*VLOOKUP($C19&amp;"|"&amp;VLOOKUP('Stage 2'!$E$11,Lookups!$C$454:$E$476,3,FALSE),Lookups!$K$95:$M$450,2,FALSE),$D19*VLOOKUP($C19,Lookups!$D$95:$O$450,11,FALSE)))))</f>
        <v/>
      </c>
      <c r="F19" s="184" t="str">
        <f>IF(OR(ISBLANK($C19),ISBLANK($D19),ISBLANK($E$10),ISBLANK($E$11)),"",IFERROR($D19*VLOOKUP((IF(OR($C19="Residential urban land",$C19="Commercial/industrial urban land",$C19="Open urban land",$C19="Greenspace",$C19="Community food growing",$C19="Woodland",$C19="Shrub", $C19="Water"), "|||"&amp;$C19, (VLOOKUP('Stage 2'!$E$9,Lookups!$C$480:$D$482,2,FALSE)&amp;"|"&amp;$C19&amp;"|"&amp;VLOOKUP('Stage 2'!$E$12,Lookups!$C$496:$D$497,2,FALSE)&amp;"|"&amp;VLOOKUP('Stage 2'!$E$11,Lookups!$C$454:$E$476,3,FALSE)&amp;"|"&amp;VLOOKUP($E$10,Lookups!$C$487:$D$492,2,FALSE)))),Lookups!$H$95:$J$450,3,FALSE),IFERROR(IFERROR($D19*VLOOKUP($C19&amp;"|"&amp;VLOOKUP('Stage 2'!$E$12,Lookups!$C$496:$D$497,2,FALSE)&amp;"|"&amp;VLOOKUP('Stage 2'!$E$11,Lookups!$C$454:$E$476,3,FALSE)&amp;"|"&amp;VLOOKUP($E$10,Lookups!$C$487:$D$492,2,FALSE),Lookups!$H$95:$J$450,3,FALSE),IFERROR($D19*VLOOKUP($C19&amp;"|"&amp;"TRUE"&amp;"|"&amp;VLOOKUP('Stage 2'!$E$11,Lookups!$C$454:$E$476,3,FALSE)&amp;"|"&amp;VLOOKUP($E$10,Lookups!$C$487:$D$492,2,FALSE),Lookups!$H$95:$J$450,3,FALSE),$D19*VLOOKUP($C19&amp;"|"&amp;VLOOKUP('Stage 2'!$E$12,Lookups!$C$496:$D$497,2,FALSE)&amp;"|"&amp;VLOOKUP('Stage 2'!$E$11,Lookups!$C$454:$E$476,3,FALSE)&amp;"|"&amp;"DrainedArGr",Lookups!$H$95:$J$450,3,FALSE))),IFERROR($D19*VLOOKUP($C19&amp;"|"&amp;VLOOKUP('Stage 2'!$E$11,Lookups!$C$454:$E$476,3,FALSE),Lookups!$K$95:$M$450,3,FALSE),$D19*VLOOKUP($C19,Lookups!$D$95:$O$450,12,FALSE)))))</f>
        <v/>
      </c>
      <c r="G19" s="167"/>
      <c r="H19" s="168"/>
      <c r="I19" s="168"/>
      <c r="J19" s="168"/>
    </row>
    <row r="20" spans="1:10">
      <c r="A20" s="141"/>
      <c r="B20" s="1"/>
      <c r="C20" s="111"/>
      <c r="D20" s="112"/>
      <c r="E20" s="185" t="str">
        <f>IF(OR(ISBLANK($C20),ISBLANK($D20),ISBLANK($E$10),ISBLANK($E$11)),"",IFERROR($D20*VLOOKUP((IF(OR($C20="Residential urban land",$C20="Commercial/industrial urban land",$C20="Open urban land",$C20="Greenspace",$C20="Community food growing",$C20="Woodland",$C20="Shrub", $C20="Water"), "|||"&amp;$C20, (VLOOKUP('Stage 2'!$E$9,Lookups!$C$480:$D$482,2,FALSE)&amp;"|"&amp;$C20&amp;"|"&amp;VLOOKUP('Stage 2'!$E$12,Lookups!$C$496:$D$497,2,FALSE)&amp;"|"&amp;VLOOKUP('Stage 2'!$E$11,Lookups!$C$454:$E$476,3,FALSE)&amp;"|"&amp;VLOOKUP($E$10,Lookups!$C$487:$D$492,2,FALSE)))),Lookups!$H$95:$J$450,2,FALSE),IFERROR(IFERROR($D20*VLOOKUP($C20&amp;"|"&amp;VLOOKUP('Stage 2'!$E$12,Lookups!$C$496:$D$497,2,FALSE)&amp;"|"&amp;VLOOKUP('Stage 2'!$E$11,Lookups!$C$454:$E$476,3,FALSE)&amp;"|"&amp;VLOOKUP($E$10,Lookups!$C$487:$D$492,2,FALSE),Lookups!$H$95:$J$450,2,FALSE),IFERROR($D20*VLOOKUP($C20&amp;"|"&amp;"TRUE"&amp;"|"&amp;VLOOKUP('Stage 2'!$E$11,Lookups!$C$454:$E$476,3,FALSE)&amp;"|"&amp;VLOOKUP($E$10,Lookups!$C$487:$D$492,2,FALSE),Lookups!$H$95:$J$450,2,FALSE),$D20*VLOOKUP($C20&amp;"|"&amp;VLOOKUP('Stage 2'!$E$12,Lookups!$C$496:$D$497,2,FALSE)&amp;"|"&amp;VLOOKUP('Stage 2'!$E$11,Lookups!$C$454:$E$476,3,FALSE)&amp;"|"&amp;"DrainedArGr",Lookups!$H$95:$J$450,2,FALSE))),IFERROR($D20*VLOOKUP($C20&amp;"|"&amp;VLOOKUP('Stage 2'!$E$11,Lookups!$C$454:$E$476,3,FALSE),Lookups!$K$95:$M$450,2,FALSE),$D20*VLOOKUP($C20,Lookups!$D$95:$O$450,11,FALSE)))))</f>
        <v/>
      </c>
      <c r="F20" s="184" t="str">
        <f>IF(OR(ISBLANK($C20),ISBLANK($D20),ISBLANK($E$10),ISBLANK($E$11)),"",IFERROR($D20*VLOOKUP((IF(OR($C20="Residential urban land",$C20="Commercial/industrial urban land",$C20="Open urban land",$C20="Greenspace",$C20="Community food growing",$C20="Woodland",$C20="Shrub", $C20="Water"), "|||"&amp;$C20, (VLOOKUP('Stage 2'!$E$9,Lookups!$C$480:$D$482,2,FALSE)&amp;"|"&amp;$C20&amp;"|"&amp;VLOOKUP('Stage 2'!$E$12,Lookups!$C$496:$D$497,2,FALSE)&amp;"|"&amp;VLOOKUP('Stage 2'!$E$11,Lookups!$C$454:$E$476,3,FALSE)&amp;"|"&amp;VLOOKUP($E$10,Lookups!$C$487:$D$492,2,FALSE)))),Lookups!$H$95:$J$450,3,FALSE),IFERROR(IFERROR($D20*VLOOKUP($C20&amp;"|"&amp;VLOOKUP('Stage 2'!$E$12,Lookups!$C$496:$D$497,2,FALSE)&amp;"|"&amp;VLOOKUP('Stage 2'!$E$11,Lookups!$C$454:$E$476,3,FALSE)&amp;"|"&amp;VLOOKUP($E$10,Lookups!$C$487:$D$492,2,FALSE),Lookups!$H$95:$J$450,3,FALSE),IFERROR($D20*VLOOKUP($C20&amp;"|"&amp;"TRUE"&amp;"|"&amp;VLOOKUP('Stage 2'!$E$11,Lookups!$C$454:$E$476,3,FALSE)&amp;"|"&amp;VLOOKUP($E$10,Lookups!$C$487:$D$492,2,FALSE),Lookups!$H$95:$J$450,3,FALSE),$D20*VLOOKUP($C20&amp;"|"&amp;VLOOKUP('Stage 2'!$E$12,Lookups!$C$496:$D$497,2,FALSE)&amp;"|"&amp;VLOOKUP('Stage 2'!$E$11,Lookups!$C$454:$E$476,3,FALSE)&amp;"|"&amp;"DrainedArGr",Lookups!$H$95:$J$450,3,FALSE))),IFERROR($D20*VLOOKUP($C20&amp;"|"&amp;VLOOKUP('Stage 2'!$E$11,Lookups!$C$454:$E$476,3,FALSE),Lookups!$K$95:$M$450,3,FALSE),$D20*VLOOKUP($C20,Lookups!$D$95:$O$450,12,FALSE)))))</f>
        <v/>
      </c>
      <c r="G20" s="167"/>
      <c r="H20" s="168"/>
      <c r="I20" s="168"/>
      <c r="J20" s="168"/>
    </row>
    <row r="21" spans="1:7">
      <c r="A21" s="141"/>
      <c r="B21" s="1"/>
      <c r="C21" s="111"/>
      <c r="D21" s="112"/>
      <c r="E21" s="185" t="str">
        <f>IF(OR(ISBLANK($C21),ISBLANK($D21),ISBLANK($E$10),ISBLANK($E$11)),"",IFERROR($D21*VLOOKUP((IF(OR($C21="Residential urban land",$C21="Commercial/industrial urban land",$C21="Open urban land",$C21="Greenspace",$C21="Community food growing",$C21="Woodland",$C21="Shrub", $C21="Water"), "|||"&amp;$C21, (VLOOKUP('Stage 2'!$E$9,Lookups!$C$480:$D$482,2,FALSE)&amp;"|"&amp;$C21&amp;"|"&amp;VLOOKUP('Stage 2'!$E$12,Lookups!$C$496:$D$497,2,FALSE)&amp;"|"&amp;VLOOKUP('Stage 2'!$E$11,Lookups!$C$454:$E$476,3,FALSE)&amp;"|"&amp;VLOOKUP($E$10,Lookups!$C$487:$D$492,2,FALSE)))),Lookups!$H$95:$J$450,2,FALSE),IFERROR(IFERROR($D21*VLOOKUP($C21&amp;"|"&amp;VLOOKUP('Stage 2'!$E$12,Lookups!$C$496:$D$497,2,FALSE)&amp;"|"&amp;VLOOKUP('Stage 2'!$E$11,Lookups!$C$454:$E$476,3,FALSE)&amp;"|"&amp;VLOOKUP($E$10,Lookups!$C$487:$D$492,2,FALSE),Lookups!$H$95:$J$450,2,FALSE),IFERROR($D21*VLOOKUP($C21&amp;"|"&amp;"TRUE"&amp;"|"&amp;VLOOKUP('Stage 2'!$E$11,Lookups!$C$454:$E$476,3,FALSE)&amp;"|"&amp;VLOOKUP($E$10,Lookups!$C$487:$D$492,2,FALSE),Lookups!$H$95:$J$450,2,FALSE),$D21*VLOOKUP($C21&amp;"|"&amp;VLOOKUP('Stage 2'!$E$12,Lookups!$C$496:$D$497,2,FALSE)&amp;"|"&amp;VLOOKUP('Stage 2'!$E$11,Lookups!$C$454:$E$476,3,FALSE)&amp;"|"&amp;"DrainedArGr",Lookups!$H$95:$J$450,2,FALSE))),IFERROR($D21*VLOOKUP($C21&amp;"|"&amp;VLOOKUP('Stage 2'!$E$11,Lookups!$C$454:$E$476,3,FALSE),Lookups!$K$95:$M$450,2,FALSE),$D21*VLOOKUP($C21,Lookups!$D$95:$O$450,11,FALSE)))))</f>
        <v/>
      </c>
      <c r="F21" s="184" t="str">
        <f>IF(OR(ISBLANK($C21),ISBLANK($D21),ISBLANK($E$10),ISBLANK($E$11)),"",IFERROR($D21*VLOOKUP((IF(OR($C21="Residential urban land",$C21="Commercial/industrial urban land",$C21="Open urban land",$C21="Greenspace",$C21="Community food growing",$C21="Woodland",$C21="Shrub", $C21="Water"), "|||"&amp;$C21, (VLOOKUP('Stage 2'!$E$9,Lookups!$C$480:$D$482,2,FALSE)&amp;"|"&amp;$C21&amp;"|"&amp;VLOOKUP('Stage 2'!$E$12,Lookups!$C$496:$D$497,2,FALSE)&amp;"|"&amp;VLOOKUP('Stage 2'!$E$11,Lookups!$C$454:$E$476,3,FALSE)&amp;"|"&amp;VLOOKUP($E$10,Lookups!$C$487:$D$492,2,FALSE)))),Lookups!$H$95:$J$450,3,FALSE),IFERROR(IFERROR($D21*VLOOKUP($C21&amp;"|"&amp;VLOOKUP('Stage 2'!$E$12,Lookups!$C$496:$D$497,2,FALSE)&amp;"|"&amp;VLOOKUP('Stage 2'!$E$11,Lookups!$C$454:$E$476,3,FALSE)&amp;"|"&amp;VLOOKUP($E$10,Lookups!$C$487:$D$492,2,FALSE),Lookups!$H$95:$J$450,3,FALSE),IFERROR($D21*VLOOKUP($C21&amp;"|"&amp;"TRUE"&amp;"|"&amp;VLOOKUP('Stage 2'!$E$11,Lookups!$C$454:$E$476,3,FALSE)&amp;"|"&amp;VLOOKUP($E$10,Lookups!$C$487:$D$492,2,FALSE),Lookups!$H$95:$J$450,3,FALSE),$D21*VLOOKUP($C21&amp;"|"&amp;VLOOKUP('Stage 2'!$E$12,Lookups!$C$496:$D$497,2,FALSE)&amp;"|"&amp;VLOOKUP('Stage 2'!$E$11,Lookups!$C$454:$E$476,3,FALSE)&amp;"|"&amp;"DrainedArGr",Lookups!$H$95:$J$450,3,FALSE))),IFERROR($D21*VLOOKUP($C21&amp;"|"&amp;VLOOKUP('Stage 2'!$E$11,Lookups!$C$454:$E$476,3,FALSE),Lookups!$K$95:$M$450,3,FALSE),$D21*VLOOKUP($C21,Lookups!$D$95:$O$450,12,FALSE)))))</f>
        <v/>
      </c>
      <c r="G21" s="160"/>
    </row>
    <row r="22" spans="1:7">
      <c r="A22" s="141"/>
      <c r="B22" s="1"/>
      <c r="C22" s="111"/>
      <c r="D22" s="112"/>
      <c r="E22" s="185" t="str">
        <f>IF(OR(ISBLANK($C22),ISBLANK($D22),ISBLANK($E$10),ISBLANK($E$11)),"",IFERROR($D22*VLOOKUP((IF(OR($C22="Residential urban land",$C22="Commercial/industrial urban land",$C22="Open urban land",$C22="Greenspace",$C22="Community food growing",$C22="Woodland",$C22="Shrub", $C22="Water"), "|||"&amp;$C22, (VLOOKUP('Stage 2'!$E$9,Lookups!$C$480:$D$482,2,FALSE)&amp;"|"&amp;$C22&amp;"|"&amp;VLOOKUP('Stage 2'!$E$12,Lookups!$C$496:$D$497,2,FALSE)&amp;"|"&amp;VLOOKUP('Stage 2'!$E$11,Lookups!$C$454:$E$476,3,FALSE)&amp;"|"&amp;VLOOKUP($E$10,Lookups!$C$487:$D$492,2,FALSE)))),Lookups!$H$95:$J$450,2,FALSE),IFERROR(IFERROR($D22*VLOOKUP($C22&amp;"|"&amp;VLOOKUP('Stage 2'!$E$12,Lookups!$C$496:$D$497,2,FALSE)&amp;"|"&amp;VLOOKUP('Stage 2'!$E$11,Lookups!$C$454:$E$476,3,FALSE)&amp;"|"&amp;VLOOKUP($E$10,Lookups!$C$487:$D$492,2,FALSE),Lookups!$H$95:$J$450,2,FALSE),IFERROR($D22*VLOOKUP($C22&amp;"|"&amp;"TRUE"&amp;"|"&amp;VLOOKUP('Stage 2'!$E$11,Lookups!$C$454:$E$476,3,FALSE)&amp;"|"&amp;VLOOKUP($E$10,Lookups!$C$487:$D$492,2,FALSE),Lookups!$H$95:$J$450,2,FALSE),$D22*VLOOKUP($C22&amp;"|"&amp;VLOOKUP('Stage 2'!$E$12,Lookups!$C$496:$D$497,2,FALSE)&amp;"|"&amp;VLOOKUP('Stage 2'!$E$11,Lookups!$C$454:$E$476,3,FALSE)&amp;"|"&amp;"DrainedArGr",Lookups!$H$95:$J$450,2,FALSE))),IFERROR($D22*VLOOKUP($C22&amp;"|"&amp;VLOOKUP('Stage 2'!$E$11,Lookups!$C$454:$E$476,3,FALSE),Lookups!$K$95:$M$450,2,FALSE),$D22*VLOOKUP($C22,Lookups!$D$95:$O$450,11,FALSE)))))</f>
        <v/>
      </c>
      <c r="F22" s="184" t="str">
        <f>IF(OR(ISBLANK($C22),ISBLANK($D22),ISBLANK($E$10),ISBLANK($E$11)),"",IFERROR($D22*VLOOKUP((IF(OR($C22="Residential urban land",$C22="Commercial/industrial urban land",$C22="Open urban land",$C22="Greenspace",$C22="Community food growing",$C22="Woodland",$C22="Shrub", $C22="Water"), "|||"&amp;$C22, (VLOOKUP('Stage 2'!$E$9,Lookups!$C$480:$D$482,2,FALSE)&amp;"|"&amp;$C22&amp;"|"&amp;VLOOKUP('Stage 2'!$E$12,Lookups!$C$496:$D$497,2,FALSE)&amp;"|"&amp;VLOOKUP('Stage 2'!$E$11,Lookups!$C$454:$E$476,3,FALSE)&amp;"|"&amp;VLOOKUP($E$10,Lookups!$C$487:$D$492,2,FALSE)))),Lookups!$H$95:$J$450,3,FALSE),IFERROR(IFERROR($D22*VLOOKUP($C22&amp;"|"&amp;VLOOKUP('Stage 2'!$E$12,Lookups!$C$496:$D$497,2,FALSE)&amp;"|"&amp;VLOOKUP('Stage 2'!$E$11,Lookups!$C$454:$E$476,3,FALSE)&amp;"|"&amp;VLOOKUP($E$10,Lookups!$C$487:$D$492,2,FALSE),Lookups!$H$95:$J$450,3,FALSE),IFERROR($D22*VLOOKUP($C22&amp;"|"&amp;"TRUE"&amp;"|"&amp;VLOOKUP('Stage 2'!$E$11,Lookups!$C$454:$E$476,3,FALSE)&amp;"|"&amp;VLOOKUP($E$10,Lookups!$C$487:$D$492,2,FALSE),Lookups!$H$95:$J$450,3,FALSE),$D22*VLOOKUP($C22&amp;"|"&amp;VLOOKUP('Stage 2'!$E$12,Lookups!$C$496:$D$497,2,FALSE)&amp;"|"&amp;VLOOKUP('Stage 2'!$E$11,Lookups!$C$454:$E$476,3,FALSE)&amp;"|"&amp;"DrainedArGr",Lookups!$H$95:$J$450,3,FALSE))),IFERROR($D22*VLOOKUP($C22&amp;"|"&amp;VLOOKUP('Stage 2'!$E$11,Lookups!$C$454:$E$476,3,FALSE),Lookups!$K$95:$M$450,3,FALSE),$D22*VLOOKUP($C22,Lookups!$D$95:$O$450,12,FALSE)))))</f>
        <v/>
      </c>
      <c r="G22" s="160"/>
    </row>
    <row r="23" spans="1:7">
      <c r="A23" s="141"/>
      <c r="B23" s="1"/>
      <c r="C23" s="111"/>
      <c r="D23" s="112"/>
      <c r="E23" s="185" t="str">
        <f>IF(OR(ISBLANK($C23),ISBLANK($D23),ISBLANK($E$10),ISBLANK($E$11)),"",IFERROR($D23*VLOOKUP((IF(OR($C23="Residential urban land",$C23="Commercial/industrial urban land",$C23="Open urban land",$C23="Greenspace",$C23="Community food growing",$C23="Woodland",$C23="Shrub", $C23="Water"), "|||"&amp;$C23, (VLOOKUP('Stage 2'!$E$9,Lookups!$C$480:$D$482,2,FALSE)&amp;"|"&amp;$C23&amp;"|"&amp;VLOOKUP('Stage 2'!$E$12,Lookups!$C$496:$D$497,2,FALSE)&amp;"|"&amp;VLOOKUP('Stage 2'!$E$11,Lookups!$C$454:$E$476,3,FALSE)&amp;"|"&amp;VLOOKUP($E$10,Lookups!$C$487:$D$492,2,FALSE)))),Lookups!$H$95:$J$450,2,FALSE),IFERROR(IFERROR($D23*VLOOKUP($C23&amp;"|"&amp;VLOOKUP('Stage 2'!$E$12,Lookups!$C$496:$D$497,2,FALSE)&amp;"|"&amp;VLOOKUP('Stage 2'!$E$11,Lookups!$C$454:$E$476,3,FALSE)&amp;"|"&amp;VLOOKUP($E$10,Lookups!$C$487:$D$492,2,FALSE),Lookups!$H$95:$J$450,2,FALSE),IFERROR($D23*VLOOKUP($C23&amp;"|"&amp;"TRUE"&amp;"|"&amp;VLOOKUP('Stage 2'!$E$11,Lookups!$C$454:$E$476,3,FALSE)&amp;"|"&amp;VLOOKUP($E$10,Lookups!$C$487:$D$492,2,FALSE),Lookups!$H$95:$J$450,2,FALSE),$D23*VLOOKUP($C23&amp;"|"&amp;VLOOKUP('Stage 2'!$E$12,Lookups!$C$496:$D$497,2,FALSE)&amp;"|"&amp;VLOOKUP('Stage 2'!$E$11,Lookups!$C$454:$E$476,3,FALSE)&amp;"|"&amp;"DrainedArGr",Lookups!$H$95:$J$450,2,FALSE))),IFERROR($D23*VLOOKUP($C23&amp;"|"&amp;VLOOKUP('Stage 2'!$E$11,Lookups!$C$454:$E$476,3,FALSE),Lookups!$K$95:$M$450,2,FALSE),$D23*VLOOKUP($C23,Lookups!$D$95:$O$450,11,FALSE)))))</f>
        <v/>
      </c>
      <c r="F23" s="184" t="str">
        <f>IF(OR(ISBLANK($C23),ISBLANK($D23),ISBLANK($E$10),ISBLANK($E$11)),"",IFERROR($D23*VLOOKUP((IF(OR($C23="Residential urban land",$C23="Commercial/industrial urban land",$C23="Open urban land",$C23="Greenspace",$C23="Community food growing",$C23="Woodland",$C23="Shrub", $C23="Water"), "|||"&amp;$C23, (VLOOKUP('Stage 2'!$E$9,Lookups!$C$480:$D$482,2,FALSE)&amp;"|"&amp;$C23&amp;"|"&amp;VLOOKUP('Stage 2'!$E$12,Lookups!$C$496:$D$497,2,FALSE)&amp;"|"&amp;VLOOKUP('Stage 2'!$E$11,Lookups!$C$454:$E$476,3,FALSE)&amp;"|"&amp;VLOOKUP($E$10,Lookups!$C$487:$D$492,2,FALSE)))),Lookups!$H$95:$J$450,3,FALSE),IFERROR(IFERROR($D23*VLOOKUP($C23&amp;"|"&amp;VLOOKUP('Stage 2'!$E$12,Lookups!$C$496:$D$497,2,FALSE)&amp;"|"&amp;VLOOKUP('Stage 2'!$E$11,Lookups!$C$454:$E$476,3,FALSE)&amp;"|"&amp;VLOOKUP($E$10,Lookups!$C$487:$D$492,2,FALSE),Lookups!$H$95:$J$450,3,FALSE),IFERROR($D23*VLOOKUP($C23&amp;"|"&amp;"TRUE"&amp;"|"&amp;VLOOKUP('Stage 2'!$E$11,Lookups!$C$454:$E$476,3,FALSE)&amp;"|"&amp;VLOOKUP($E$10,Lookups!$C$487:$D$492,2,FALSE),Lookups!$H$95:$J$450,3,FALSE),$D23*VLOOKUP($C23&amp;"|"&amp;VLOOKUP('Stage 2'!$E$12,Lookups!$C$496:$D$497,2,FALSE)&amp;"|"&amp;VLOOKUP('Stage 2'!$E$11,Lookups!$C$454:$E$476,3,FALSE)&amp;"|"&amp;"DrainedArGr",Lookups!$H$95:$J$450,3,FALSE))),IFERROR($D23*VLOOKUP($C23&amp;"|"&amp;VLOOKUP('Stage 2'!$E$11,Lookups!$C$454:$E$476,3,FALSE),Lookups!$K$95:$M$450,3,FALSE),$D23*VLOOKUP($C23,Lookups!$D$95:$O$450,12,FALSE)))))</f>
        <v/>
      </c>
      <c r="G23" s="160"/>
    </row>
    <row r="24" spans="1:7">
      <c r="A24" s="141"/>
      <c r="B24" s="1"/>
      <c r="C24" s="111"/>
      <c r="D24" s="112"/>
      <c r="E24" s="185" t="str">
        <f>IF(OR(ISBLANK($C24),ISBLANK($D24),ISBLANK($E$10),ISBLANK($E$11)),"",IFERROR($D24*VLOOKUP((IF(OR($C24="Residential urban land",$C24="Commercial/industrial urban land",$C24="Open urban land",$C24="Greenspace",$C24="Community food growing",$C24="Woodland",$C24="Shrub", $C24="Water"), "|||"&amp;$C24, (VLOOKUP('Stage 2'!$E$9,Lookups!$C$480:$D$482,2,FALSE)&amp;"|"&amp;$C24&amp;"|"&amp;VLOOKUP('Stage 2'!$E$12,Lookups!$C$496:$D$497,2,FALSE)&amp;"|"&amp;VLOOKUP('Stage 2'!$E$11,Lookups!$C$454:$E$476,3,FALSE)&amp;"|"&amp;VLOOKUP($E$10,Lookups!$C$487:$D$492,2,FALSE)))),Lookups!$H$95:$J$450,2,FALSE),IFERROR(IFERROR($D24*VLOOKUP($C24&amp;"|"&amp;VLOOKUP('Stage 2'!$E$12,Lookups!$C$496:$D$497,2,FALSE)&amp;"|"&amp;VLOOKUP('Stage 2'!$E$11,Lookups!$C$454:$E$476,3,FALSE)&amp;"|"&amp;VLOOKUP($E$10,Lookups!$C$487:$D$492,2,FALSE),Lookups!$H$95:$J$450,2,FALSE),IFERROR($D24*VLOOKUP($C24&amp;"|"&amp;"TRUE"&amp;"|"&amp;VLOOKUP('Stage 2'!$E$11,Lookups!$C$454:$E$476,3,FALSE)&amp;"|"&amp;VLOOKUP($E$10,Lookups!$C$487:$D$492,2,FALSE),Lookups!$H$95:$J$450,2,FALSE),$D24*VLOOKUP($C24&amp;"|"&amp;VLOOKUP('Stage 2'!$E$12,Lookups!$C$496:$D$497,2,FALSE)&amp;"|"&amp;VLOOKUP('Stage 2'!$E$11,Lookups!$C$454:$E$476,3,FALSE)&amp;"|"&amp;"DrainedArGr",Lookups!$H$95:$J$450,2,FALSE))),IFERROR($D24*VLOOKUP($C24&amp;"|"&amp;VLOOKUP('Stage 2'!$E$11,Lookups!$C$454:$E$476,3,FALSE),Lookups!$K$95:$M$450,2,FALSE),$D24*VLOOKUP($C24,Lookups!$D$95:$O$450,11,FALSE)))))</f>
        <v/>
      </c>
      <c r="F24" s="184" t="str">
        <f>IF(OR(ISBLANK($C24),ISBLANK($D24),ISBLANK($E$10),ISBLANK($E$11)),"",IFERROR($D24*VLOOKUP((IF(OR($C24="Residential urban land",$C24="Commercial/industrial urban land",$C24="Open urban land",$C24="Greenspace",$C24="Community food growing",$C24="Woodland",$C24="Shrub", $C24="Water"), "|||"&amp;$C24, (VLOOKUP('Stage 2'!$E$9,Lookups!$C$480:$D$482,2,FALSE)&amp;"|"&amp;$C24&amp;"|"&amp;VLOOKUP('Stage 2'!$E$12,Lookups!$C$496:$D$497,2,FALSE)&amp;"|"&amp;VLOOKUP('Stage 2'!$E$11,Lookups!$C$454:$E$476,3,FALSE)&amp;"|"&amp;VLOOKUP($E$10,Lookups!$C$487:$D$492,2,FALSE)))),Lookups!$H$95:$J$450,3,FALSE),IFERROR(IFERROR($D24*VLOOKUP($C24&amp;"|"&amp;VLOOKUP('Stage 2'!$E$12,Lookups!$C$496:$D$497,2,FALSE)&amp;"|"&amp;VLOOKUP('Stage 2'!$E$11,Lookups!$C$454:$E$476,3,FALSE)&amp;"|"&amp;VLOOKUP($E$10,Lookups!$C$487:$D$492,2,FALSE),Lookups!$H$95:$J$450,3,FALSE),IFERROR($D24*VLOOKUP($C24&amp;"|"&amp;"TRUE"&amp;"|"&amp;VLOOKUP('Stage 2'!$E$11,Lookups!$C$454:$E$476,3,FALSE)&amp;"|"&amp;VLOOKUP($E$10,Lookups!$C$487:$D$492,2,FALSE),Lookups!$H$95:$J$450,3,FALSE),$D24*VLOOKUP($C24&amp;"|"&amp;VLOOKUP('Stage 2'!$E$12,Lookups!$C$496:$D$497,2,FALSE)&amp;"|"&amp;VLOOKUP('Stage 2'!$E$11,Lookups!$C$454:$E$476,3,FALSE)&amp;"|"&amp;"DrainedArGr",Lookups!$H$95:$J$450,3,FALSE))),IFERROR($D24*VLOOKUP($C24&amp;"|"&amp;VLOOKUP('Stage 2'!$E$11,Lookups!$C$454:$E$476,3,FALSE),Lookups!$K$95:$M$450,3,FALSE),$D24*VLOOKUP($C24,Lookups!$D$95:$O$450,12,FALSE)))))</f>
        <v/>
      </c>
      <c r="G24" s="160"/>
    </row>
    <row r="25" spans="1:7">
      <c r="A25" s="141"/>
      <c r="B25" s="1"/>
      <c r="C25" s="111"/>
      <c r="D25" s="112"/>
      <c r="E25" s="185" t="str">
        <f>IF(OR(ISBLANK($C25),ISBLANK($D25),ISBLANK($E$10),ISBLANK($E$11)),"",IFERROR($D25*VLOOKUP((IF(OR($C25="Residential urban land",$C25="Commercial/industrial urban land",$C25="Open urban land",$C25="Greenspace",$C25="Community food growing",$C25="Woodland",$C25="Shrub", $C25="Water"), "|||"&amp;$C25, (VLOOKUP('Stage 2'!$E$9,Lookups!$C$480:$D$482,2,FALSE)&amp;"|"&amp;$C25&amp;"|"&amp;VLOOKUP('Stage 2'!$E$12,Lookups!$C$496:$D$497,2,FALSE)&amp;"|"&amp;VLOOKUP('Stage 2'!$E$11,Lookups!$C$454:$E$476,3,FALSE)&amp;"|"&amp;VLOOKUP($E$10,Lookups!$C$487:$D$492,2,FALSE)))),Lookups!$H$95:$J$450,2,FALSE),IFERROR(IFERROR($D25*VLOOKUP($C25&amp;"|"&amp;VLOOKUP('Stage 2'!$E$12,Lookups!$C$496:$D$497,2,FALSE)&amp;"|"&amp;VLOOKUP('Stage 2'!$E$11,Lookups!$C$454:$E$476,3,FALSE)&amp;"|"&amp;VLOOKUP($E$10,Lookups!$C$487:$D$492,2,FALSE),Lookups!$H$95:$J$450,2,FALSE),IFERROR($D25*VLOOKUP($C25&amp;"|"&amp;"TRUE"&amp;"|"&amp;VLOOKUP('Stage 2'!$E$11,Lookups!$C$454:$E$476,3,FALSE)&amp;"|"&amp;VLOOKUP($E$10,Lookups!$C$487:$D$492,2,FALSE),Lookups!$H$95:$J$450,2,FALSE),$D25*VLOOKUP($C25&amp;"|"&amp;VLOOKUP('Stage 2'!$E$12,Lookups!$C$496:$D$497,2,FALSE)&amp;"|"&amp;VLOOKUP('Stage 2'!$E$11,Lookups!$C$454:$E$476,3,FALSE)&amp;"|"&amp;"DrainedArGr",Lookups!$H$95:$J$450,2,FALSE))),IFERROR($D25*VLOOKUP($C25&amp;"|"&amp;VLOOKUP('Stage 2'!$E$11,Lookups!$C$454:$E$476,3,FALSE),Lookups!$K$95:$M$450,2,FALSE),$D25*VLOOKUP($C25,Lookups!$D$95:$O$450,11,FALSE)))))</f>
        <v/>
      </c>
      <c r="F25" s="184" t="str">
        <f>IF(OR(ISBLANK($C25),ISBLANK($D25),ISBLANK($E$10),ISBLANK($E$11)),"",IFERROR($D25*VLOOKUP((IF(OR($C25="Residential urban land",$C25="Commercial/industrial urban land",$C25="Open urban land",$C25="Greenspace",$C25="Community food growing",$C25="Woodland",$C25="Shrub", $C25="Water"), "|||"&amp;$C25, (VLOOKUP('Stage 2'!$E$9,Lookups!$C$480:$D$482,2,FALSE)&amp;"|"&amp;$C25&amp;"|"&amp;VLOOKUP('Stage 2'!$E$12,Lookups!$C$496:$D$497,2,FALSE)&amp;"|"&amp;VLOOKUP('Stage 2'!$E$11,Lookups!$C$454:$E$476,3,FALSE)&amp;"|"&amp;VLOOKUP($E$10,Lookups!$C$487:$D$492,2,FALSE)))),Lookups!$H$95:$J$450,3,FALSE),IFERROR(IFERROR($D25*VLOOKUP($C25&amp;"|"&amp;VLOOKUP('Stage 2'!$E$12,Lookups!$C$496:$D$497,2,FALSE)&amp;"|"&amp;VLOOKUP('Stage 2'!$E$11,Lookups!$C$454:$E$476,3,FALSE)&amp;"|"&amp;VLOOKUP($E$10,Lookups!$C$487:$D$492,2,FALSE),Lookups!$H$95:$J$450,3,FALSE),IFERROR($D25*VLOOKUP($C25&amp;"|"&amp;"TRUE"&amp;"|"&amp;VLOOKUP('Stage 2'!$E$11,Lookups!$C$454:$E$476,3,FALSE)&amp;"|"&amp;VLOOKUP($E$10,Lookups!$C$487:$D$492,2,FALSE),Lookups!$H$95:$J$450,3,FALSE),$D25*VLOOKUP($C25&amp;"|"&amp;VLOOKUP('Stage 2'!$E$12,Lookups!$C$496:$D$497,2,FALSE)&amp;"|"&amp;VLOOKUP('Stage 2'!$E$11,Lookups!$C$454:$E$476,3,FALSE)&amp;"|"&amp;"DrainedArGr",Lookups!$H$95:$J$450,3,FALSE))),IFERROR($D25*VLOOKUP($C25&amp;"|"&amp;VLOOKUP('Stage 2'!$E$11,Lookups!$C$454:$E$476,3,FALSE),Lookups!$K$95:$M$450,3,FALSE),$D25*VLOOKUP($C25,Lookups!$D$95:$O$450,12,FALSE)))))</f>
        <v/>
      </c>
      <c r="G25" s="160"/>
    </row>
    <row r="26" spans="1:7">
      <c r="A26" s="141"/>
      <c r="B26" s="1"/>
      <c r="C26" s="111"/>
      <c r="D26" s="112"/>
      <c r="E26" s="185" t="str">
        <f>IF(OR(ISBLANK($C26),ISBLANK($D26),ISBLANK($E$10),ISBLANK($E$11)),"",IFERROR($D26*VLOOKUP((IF(OR($C26="Residential urban land",$C26="Commercial/industrial urban land",$C26="Open urban land",$C26="Greenspace",$C26="Community food growing",$C26="Woodland",$C26="Shrub", $C26="Water"), "|||"&amp;$C26, (VLOOKUP('Stage 2'!$E$9,Lookups!$C$480:$D$482,2,FALSE)&amp;"|"&amp;$C26&amp;"|"&amp;VLOOKUP('Stage 2'!$E$12,Lookups!$C$496:$D$497,2,FALSE)&amp;"|"&amp;VLOOKUP('Stage 2'!$E$11,Lookups!$C$454:$E$476,3,FALSE)&amp;"|"&amp;VLOOKUP($E$10,Lookups!$C$487:$D$492,2,FALSE)))),Lookups!$H$95:$J$450,2,FALSE),IFERROR(IFERROR($D26*VLOOKUP($C26&amp;"|"&amp;VLOOKUP('Stage 2'!$E$12,Lookups!$C$496:$D$497,2,FALSE)&amp;"|"&amp;VLOOKUP('Stage 2'!$E$11,Lookups!$C$454:$E$476,3,FALSE)&amp;"|"&amp;VLOOKUP($E$10,Lookups!$C$487:$D$492,2,FALSE),Lookups!$H$95:$J$450,2,FALSE),IFERROR($D26*VLOOKUP($C26&amp;"|"&amp;"TRUE"&amp;"|"&amp;VLOOKUP('Stage 2'!$E$11,Lookups!$C$454:$E$476,3,FALSE)&amp;"|"&amp;VLOOKUP($E$10,Lookups!$C$487:$D$492,2,FALSE),Lookups!$H$95:$J$450,2,FALSE),$D26*VLOOKUP($C26&amp;"|"&amp;VLOOKUP('Stage 2'!$E$12,Lookups!$C$496:$D$497,2,FALSE)&amp;"|"&amp;VLOOKUP('Stage 2'!$E$11,Lookups!$C$454:$E$476,3,FALSE)&amp;"|"&amp;"DrainedArGr",Lookups!$H$95:$J$450,2,FALSE))),IFERROR($D26*VLOOKUP($C26&amp;"|"&amp;VLOOKUP('Stage 2'!$E$11,Lookups!$C$454:$E$476,3,FALSE),Lookups!$K$95:$M$450,2,FALSE),$D26*VLOOKUP($C26,Lookups!$D$95:$O$450,11,FALSE)))))</f>
        <v/>
      </c>
      <c r="F26" s="184" t="str">
        <f>IF(OR(ISBLANK($C26),ISBLANK($D26),ISBLANK($E$10),ISBLANK($E$11)),"",IFERROR($D26*VLOOKUP((IF(OR($C26="Residential urban land",$C26="Commercial/industrial urban land",$C26="Open urban land",$C26="Greenspace",$C26="Community food growing",$C26="Woodland",$C26="Shrub", $C26="Water"), "|||"&amp;$C26, (VLOOKUP('Stage 2'!$E$9,Lookups!$C$480:$D$482,2,FALSE)&amp;"|"&amp;$C26&amp;"|"&amp;VLOOKUP('Stage 2'!$E$12,Lookups!$C$496:$D$497,2,FALSE)&amp;"|"&amp;VLOOKUP('Stage 2'!$E$11,Lookups!$C$454:$E$476,3,FALSE)&amp;"|"&amp;VLOOKUP($E$10,Lookups!$C$487:$D$492,2,FALSE)))),Lookups!$H$95:$J$450,3,FALSE),IFERROR(IFERROR($D26*VLOOKUP($C26&amp;"|"&amp;VLOOKUP('Stage 2'!$E$12,Lookups!$C$496:$D$497,2,FALSE)&amp;"|"&amp;VLOOKUP('Stage 2'!$E$11,Lookups!$C$454:$E$476,3,FALSE)&amp;"|"&amp;VLOOKUP($E$10,Lookups!$C$487:$D$492,2,FALSE),Lookups!$H$95:$J$450,3,FALSE),IFERROR($D26*VLOOKUP($C26&amp;"|"&amp;"TRUE"&amp;"|"&amp;VLOOKUP('Stage 2'!$E$11,Lookups!$C$454:$E$476,3,FALSE)&amp;"|"&amp;VLOOKUP($E$10,Lookups!$C$487:$D$492,2,FALSE),Lookups!$H$95:$J$450,3,FALSE),$D26*VLOOKUP($C26&amp;"|"&amp;VLOOKUP('Stage 2'!$E$12,Lookups!$C$496:$D$497,2,FALSE)&amp;"|"&amp;VLOOKUP('Stage 2'!$E$11,Lookups!$C$454:$E$476,3,FALSE)&amp;"|"&amp;"DrainedArGr",Lookups!$H$95:$J$450,3,FALSE))),IFERROR($D26*VLOOKUP($C26&amp;"|"&amp;VLOOKUP('Stage 2'!$E$11,Lookups!$C$454:$E$476,3,FALSE),Lookups!$K$95:$M$450,3,FALSE),$D26*VLOOKUP($C26,Lookups!$D$95:$O$450,12,FALSE)))))</f>
        <v/>
      </c>
      <c r="G26" s="160"/>
    </row>
    <row r="27" spans="1:7">
      <c r="A27" s="141"/>
      <c r="B27" s="1"/>
      <c r="C27" s="111"/>
      <c r="D27" s="112"/>
      <c r="E27" s="185" t="str">
        <f>IF(OR(ISBLANK($C27),ISBLANK($D27),ISBLANK($E$10),ISBLANK($E$11)),"",IFERROR($D27*VLOOKUP((IF(OR($C27="Residential urban land",$C27="Commercial/industrial urban land",$C27="Open urban land",$C27="Greenspace",$C27="Community food growing",$C27="Woodland",$C27="Shrub", $C27="Water"), "|||"&amp;$C27, (VLOOKUP('Stage 2'!$E$9,Lookups!$C$480:$D$482,2,FALSE)&amp;"|"&amp;$C27&amp;"|"&amp;VLOOKUP('Stage 2'!$E$12,Lookups!$C$496:$D$497,2,FALSE)&amp;"|"&amp;VLOOKUP('Stage 2'!$E$11,Lookups!$C$454:$E$476,3,FALSE)&amp;"|"&amp;VLOOKUP($E$10,Lookups!$C$487:$D$492,2,FALSE)))),Lookups!$H$95:$J$450,2,FALSE),IFERROR(IFERROR($D27*VLOOKUP($C27&amp;"|"&amp;VLOOKUP('Stage 2'!$E$12,Lookups!$C$496:$D$497,2,FALSE)&amp;"|"&amp;VLOOKUP('Stage 2'!$E$11,Lookups!$C$454:$E$476,3,FALSE)&amp;"|"&amp;VLOOKUP($E$10,Lookups!$C$487:$D$492,2,FALSE),Lookups!$H$95:$J$450,2,FALSE),IFERROR($D27*VLOOKUP($C27&amp;"|"&amp;"TRUE"&amp;"|"&amp;VLOOKUP('Stage 2'!$E$11,Lookups!$C$454:$E$476,3,FALSE)&amp;"|"&amp;VLOOKUP($E$10,Lookups!$C$487:$D$492,2,FALSE),Lookups!$H$95:$J$450,2,FALSE),$D27*VLOOKUP($C27&amp;"|"&amp;VLOOKUP('Stage 2'!$E$12,Lookups!$C$496:$D$497,2,FALSE)&amp;"|"&amp;VLOOKUP('Stage 2'!$E$11,Lookups!$C$454:$E$476,3,FALSE)&amp;"|"&amp;"DrainedArGr",Lookups!$H$95:$J$450,2,FALSE))),IFERROR($D27*VLOOKUP($C27&amp;"|"&amp;VLOOKUP('Stage 2'!$E$11,Lookups!$C$454:$E$476,3,FALSE),Lookups!$K$95:$M$450,2,FALSE),$D27*VLOOKUP($C27,Lookups!$D$95:$O$450,11,FALSE)))))</f>
        <v/>
      </c>
      <c r="F27" s="184" t="str">
        <f>IF(OR(ISBLANK($C27),ISBLANK($D27),ISBLANK($E$10),ISBLANK($E$11)),"",IFERROR($D27*VLOOKUP((IF(OR($C27="Residential urban land",$C27="Commercial/industrial urban land",$C27="Open urban land",$C27="Greenspace",$C27="Community food growing",$C27="Woodland",$C27="Shrub", $C27="Water"), "|||"&amp;$C27, (VLOOKUP('Stage 2'!$E$9,Lookups!$C$480:$D$482,2,FALSE)&amp;"|"&amp;$C27&amp;"|"&amp;VLOOKUP('Stage 2'!$E$12,Lookups!$C$496:$D$497,2,FALSE)&amp;"|"&amp;VLOOKUP('Stage 2'!$E$11,Lookups!$C$454:$E$476,3,FALSE)&amp;"|"&amp;VLOOKUP($E$10,Lookups!$C$487:$D$492,2,FALSE)))),Lookups!$H$95:$J$450,3,FALSE),IFERROR(IFERROR($D27*VLOOKUP($C27&amp;"|"&amp;VLOOKUP('Stage 2'!$E$12,Lookups!$C$496:$D$497,2,FALSE)&amp;"|"&amp;VLOOKUP('Stage 2'!$E$11,Lookups!$C$454:$E$476,3,FALSE)&amp;"|"&amp;VLOOKUP($E$10,Lookups!$C$487:$D$492,2,FALSE),Lookups!$H$95:$J$450,3,FALSE),IFERROR($D27*VLOOKUP($C27&amp;"|"&amp;"TRUE"&amp;"|"&amp;VLOOKUP('Stage 2'!$E$11,Lookups!$C$454:$E$476,3,FALSE)&amp;"|"&amp;VLOOKUP($E$10,Lookups!$C$487:$D$492,2,FALSE),Lookups!$H$95:$J$450,3,FALSE),$D27*VLOOKUP($C27&amp;"|"&amp;VLOOKUP('Stage 2'!$E$12,Lookups!$C$496:$D$497,2,FALSE)&amp;"|"&amp;VLOOKUP('Stage 2'!$E$11,Lookups!$C$454:$E$476,3,FALSE)&amp;"|"&amp;"DrainedArGr",Lookups!$H$95:$J$450,3,FALSE))),IFERROR($D27*VLOOKUP($C27&amp;"|"&amp;VLOOKUP('Stage 2'!$E$11,Lookups!$C$454:$E$476,3,FALSE),Lookups!$K$95:$M$450,3,FALSE),$D27*VLOOKUP($C27,Lookups!$D$95:$O$450,12,FALSE)))))</f>
        <v/>
      </c>
      <c r="G27" s="160"/>
    </row>
    <row r="28" spans="1:9">
      <c r="A28" s="141"/>
      <c r="B28" s="1"/>
      <c r="C28" s="111"/>
      <c r="D28" s="112"/>
      <c r="E28" s="185" t="str">
        <f>IF(OR(ISBLANK($C28),ISBLANK($D28),ISBLANK($E$10),ISBLANK($E$11)),"",IFERROR($D28*VLOOKUP((IF(OR($C28="Residential urban land",$C28="Commercial/industrial urban land",$C28="Open urban land",$C28="Greenspace",$C28="Community food growing",$C28="Woodland",$C28="Shrub", $C28="Water"), "|||"&amp;$C28, (VLOOKUP('Stage 2'!$E$9,Lookups!$C$480:$D$482,2,FALSE)&amp;"|"&amp;$C28&amp;"|"&amp;VLOOKUP('Stage 2'!$E$12,Lookups!$C$496:$D$497,2,FALSE)&amp;"|"&amp;VLOOKUP('Stage 2'!$E$11,Lookups!$C$454:$E$476,3,FALSE)&amp;"|"&amp;VLOOKUP($E$10,Lookups!$C$487:$D$492,2,FALSE)))),Lookups!$H$95:$J$450,2,FALSE),IFERROR(IFERROR($D28*VLOOKUP($C28&amp;"|"&amp;VLOOKUP('Stage 2'!$E$12,Lookups!$C$496:$D$497,2,FALSE)&amp;"|"&amp;VLOOKUP('Stage 2'!$E$11,Lookups!$C$454:$E$476,3,FALSE)&amp;"|"&amp;VLOOKUP($E$10,Lookups!$C$487:$D$492,2,FALSE),Lookups!$H$95:$J$450,2,FALSE),IFERROR($D28*VLOOKUP($C28&amp;"|"&amp;"TRUE"&amp;"|"&amp;VLOOKUP('Stage 2'!$E$11,Lookups!$C$454:$E$476,3,FALSE)&amp;"|"&amp;VLOOKUP($E$10,Lookups!$C$487:$D$492,2,FALSE),Lookups!$H$95:$J$450,2,FALSE),$D28*VLOOKUP($C28&amp;"|"&amp;VLOOKUP('Stage 2'!$E$12,Lookups!$C$496:$D$497,2,FALSE)&amp;"|"&amp;VLOOKUP('Stage 2'!$E$11,Lookups!$C$454:$E$476,3,FALSE)&amp;"|"&amp;"DrainedArGr",Lookups!$H$95:$J$450,2,FALSE))),IFERROR($D28*VLOOKUP($C28&amp;"|"&amp;VLOOKUP('Stage 2'!$E$11,Lookups!$C$454:$E$476,3,FALSE),Lookups!$K$95:$M$450,2,FALSE),$D28*VLOOKUP($C28,Lookups!$D$95:$O$450,11,FALSE)))))</f>
        <v/>
      </c>
      <c r="F28" s="184" t="str">
        <f>IF(OR(ISBLANK($C28),ISBLANK($D28),ISBLANK($E$10),ISBLANK($E$11)),"",IFERROR($D28*VLOOKUP((IF(OR($C28="Residential urban land",$C28="Commercial/industrial urban land",$C28="Open urban land",$C28="Greenspace",$C28="Community food growing",$C28="Woodland",$C28="Shrub", $C28="Water"), "|||"&amp;$C28, (VLOOKUP('Stage 2'!$E$9,Lookups!$C$480:$D$482,2,FALSE)&amp;"|"&amp;$C28&amp;"|"&amp;VLOOKUP('Stage 2'!$E$12,Lookups!$C$496:$D$497,2,FALSE)&amp;"|"&amp;VLOOKUP('Stage 2'!$E$11,Lookups!$C$454:$E$476,3,FALSE)&amp;"|"&amp;VLOOKUP($E$10,Lookups!$C$487:$D$492,2,FALSE)))),Lookups!$H$95:$J$450,3,FALSE),IFERROR(IFERROR($D28*VLOOKUP($C28&amp;"|"&amp;VLOOKUP('Stage 2'!$E$12,Lookups!$C$496:$D$497,2,FALSE)&amp;"|"&amp;VLOOKUP('Stage 2'!$E$11,Lookups!$C$454:$E$476,3,FALSE)&amp;"|"&amp;VLOOKUP($E$10,Lookups!$C$487:$D$492,2,FALSE),Lookups!$H$95:$J$450,3,FALSE),IFERROR($D28*VLOOKUP($C28&amp;"|"&amp;"TRUE"&amp;"|"&amp;VLOOKUP('Stage 2'!$E$11,Lookups!$C$454:$E$476,3,FALSE)&amp;"|"&amp;VLOOKUP($E$10,Lookups!$C$487:$D$492,2,FALSE),Lookups!$H$95:$J$450,3,FALSE),$D28*VLOOKUP($C28&amp;"|"&amp;VLOOKUP('Stage 2'!$E$12,Lookups!$C$496:$D$497,2,FALSE)&amp;"|"&amp;VLOOKUP('Stage 2'!$E$11,Lookups!$C$454:$E$476,3,FALSE)&amp;"|"&amp;"DrainedArGr",Lookups!$H$95:$J$450,3,FALSE))),IFERROR($D28*VLOOKUP($C28&amp;"|"&amp;VLOOKUP('Stage 2'!$E$11,Lookups!$C$454:$E$476,3,FALSE),Lookups!$K$95:$M$450,3,FALSE),$D28*VLOOKUP($C28,Lookups!$D$95:$O$450,12,FALSE)))))</f>
        <v/>
      </c>
      <c r="G28" s="160"/>
      <c r="I28" s="169"/>
    </row>
    <row r="29" spans="1:7">
      <c r="A29" s="141"/>
      <c r="B29" s="1"/>
      <c r="C29" s="111"/>
      <c r="D29" s="112"/>
      <c r="E29" s="185" t="str">
        <f>IF(OR(ISBLANK($C29),ISBLANK($D29),ISBLANK($E$10),ISBLANK($E$11)),"",IFERROR($D29*VLOOKUP((IF(OR($C29="Residential urban land",$C29="Commercial/industrial urban land",$C29="Open urban land",$C29="Greenspace",$C29="Community food growing",$C29="Woodland",$C29="Shrub", $C29="Water"), "|||"&amp;$C29, (VLOOKUP('Stage 2'!$E$9,Lookups!$C$480:$D$482,2,FALSE)&amp;"|"&amp;$C29&amp;"|"&amp;VLOOKUP('Stage 2'!$E$12,Lookups!$C$496:$D$497,2,FALSE)&amp;"|"&amp;VLOOKUP('Stage 2'!$E$11,Lookups!$C$454:$E$476,3,FALSE)&amp;"|"&amp;VLOOKUP($E$10,Lookups!$C$487:$D$492,2,FALSE)))),Lookups!$H$95:$J$450,2,FALSE),IFERROR(IFERROR($D29*VLOOKUP($C29&amp;"|"&amp;VLOOKUP('Stage 2'!$E$12,Lookups!$C$496:$D$497,2,FALSE)&amp;"|"&amp;VLOOKUP('Stage 2'!$E$11,Lookups!$C$454:$E$476,3,FALSE)&amp;"|"&amp;VLOOKUP($E$10,Lookups!$C$487:$D$492,2,FALSE),Lookups!$H$95:$J$450,2,FALSE),IFERROR($D29*VLOOKUP($C29&amp;"|"&amp;"TRUE"&amp;"|"&amp;VLOOKUP('Stage 2'!$E$11,Lookups!$C$454:$E$476,3,FALSE)&amp;"|"&amp;VLOOKUP($E$10,Lookups!$C$487:$D$492,2,FALSE),Lookups!$H$95:$J$450,2,FALSE),$D29*VLOOKUP($C29&amp;"|"&amp;VLOOKUP('Stage 2'!$E$12,Lookups!$C$496:$D$497,2,FALSE)&amp;"|"&amp;VLOOKUP('Stage 2'!$E$11,Lookups!$C$454:$E$476,3,FALSE)&amp;"|"&amp;"DrainedArGr",Lookups!$H$95:$J$450,2,FALSE))),IFERROR($D29*VLOOKUP($C29&amp;"|"&amp;VLOOKUP('Stage 2'!$E$11,Lookups!$C$454:$E$476,3,FALSE),Lookups!$K$95:$M$450,2,FALSE),$D29*VLOOKUP($C29,Lookups!$D$95:$O$450,11,FALSE)))))</f>
        <v/>
      </c>
      <c r="F29" s="184" t="str">
        <f>IF(OR(ISBLANK($C29),ISBLANK($D29),ISBLANK($E$10),ISBLANK($E$11)),"",IFERROR($D29*VLOOKUP((IF(OR($C29="Residential urban land",$C29="Commercial/industrial urban land",$C29="Open urban land",$C29="Greenspace",$C29="Community food growing",$C29="Woodland",$C29="Shrub", $C29="Water"), "|||"&amp;$C29, (VLOOKUP('Stage 2'!$E$9,Lookups!$C$480:$D$482,2,FALSE)&amp;"|"&amp;$C29&amp;"|"&amp;VLOOKUP('Stage 2'!$E$12,Lookups!$C$496:$D$497,2,FALSE)&amp;"|"&amp;VLOOKUP('Stage 2'!$E$11,Lookups!$C$454:$E$476,3,FALSE)&amp;"|"&amp;VLOOKUP($E$10,Lookups!$C$487:$D$492,2,FALSE)))),Lookups!$H$95:$J$450,3,FALSE),IFERROR(IFERROR($D29*VLOOKUP($C29&amp;"|"&amp;VLOOKUP('Stage 2'!$E$12,Lookups!$C$496:$D$497,2,FALSE)&amp;"|"&amp;VLOOKUP('Stage 2'!$E$11,Lookups!$C$454:$E$476,3,FALSE)&amp;"|"&amp;VLOOKUP($E$10,Lookups!$C$487:$D$492,2,FALSE),Lookups!$H$95:$J$450,3,FALSE),IFERROR($D29*VLOOKUP($C29&amp;"|"&amp;"TRUE"&amp;"|"&amp;VLOOKUP('Stage 2'!$E$11,Lookups!$C$454:$E$476,3,FALSE)&amp;"|"&amp;VLOOKUP($E$10,Lookups!$C$487:$D$492,2,FALSE),Lookups!$H$95:$J$450,3,FALSE),$D29*VLOOKUP($C29&amp;"|"&amp;VLOOKUP('Stage 2'!$E$12,Lookups!$C$496:$D$497,2,FALSE)&amp;"|"&amp;VLOOKUP('Stage 2'!$E$11,Lookups!$C$454:$E$476,3,FALSE)&amp;"|"&amp;"DrainedArGr",Lookups!$H$95:$J$450,3,FALSE))),IFERROR($D29*VLOOKUP($C29&amp;"|"&amp;VLOOKUP('Stage 2'!$E$11,Lookups!$C$454:$E$476,3,FALSE),Lookups!$K$95:$M$450,3,FALSE),$D29*VLOOKUP($C29,Lookups!$D$95:$O$450,12,FALSE)))))</f>
        <v/>
      </c>
      <c r="G29" s="160"/>
    </row>
    <row r="30" spans="1:7">
      <c r="A30" s="141"/>
      <c r="B30" s="1"/>
      <c r="C30" s="111"/>
      <c r="D30" s="112"/>
      <c r="E30" s="185" t="str">
        <f>IF(OR(ISBLANK($C30),ISBLANK($D30),ISBLANK($E$10),ISBLANK($E$11)),"",IFERROR($D30*VLOOKUP((IF(OR($C30="Residential urban land",$C30="Commercial/industrial urban land",$C30="Open urban land",$C30="Greenspace",$C30="Community food growing",$C30="Woodland",$C30="Shrub", $C30="Water"), "|||"&amp;$C30, (VLOOKUP('Stage 2'!$E$9,Lookups!$C$480:$D$482,2,FALSE)&amp;"|"&amp;$C30&amp;"|"&amp;VLOOKUP('Stage 2'!$E$12,Lookups!$C$496:$D$497,2,FALSE)&amp;"|"&amp;VLOOKUP('Stage 2'!$E$11,Lookups!$C$454:$E$476,3,FALSE)&amp;"|"&amp;VLOOKUP($E$10,Lookups!$C$487:$D$492,2,FALSE)))),Lookups!$H$95:$J$450,2,FALSE),IFERROR(IFERROR($D30*VLOOKUP($C30&amp;"|"&amp;VLOOKUP('Stage 2'!$E$12,Lookups!$C$496:$D$497,2,FALSE)&amp;"|"&amp;VLOOKUP('Stage 2'!$E$11,Lookups!$C$454:$E$476,3,FALSE)&amp;"|"&amp;VLOOKUP($E$10,Lookups!$C$487:$D$492,2,FALSE),Lookups!$H$95:$J$450,2,FALSE),IFERROR($D30*VLOOKUP($C30&amp;"|"&amp;"TRUE"&amp;"|"&amp;VLOOKUP('Stage 2'!$E$11,Lookups!$C$454:$E$476,3,FALSE)&amp;"|"&amp;VLOOKUP($E$10,Lookups!$C$487:$D$492,2,FALSE),Lookups!$H$95:$J$450,2,FALSE),$D30*VLOOKUP($C30&amp;"|"&amp;VLOOKUP('Stage 2'!$E$12,Lookups!$C$496:$D$497,2,FALSE)&amp;"|"&amp;VLOOKUP('Stage 2'!$E$11,Lookups!$C$454:$E$476,3,FALSE)&amp;"|"&amp;"DrainedArGr",Lookups!$H$95:$J$450,2,FALSE))),IFERROR($D30*VLOOKUP($C30&amp;"|"&amp;VLOOKUP('Stage 2'!$E$11,Lookups!$C$454:$E$476,3,FALSE),Lookups!$K$95:$M$450,2,FALSE),$D30*VLOOKUP($C30,Lookups!$D$95:$O$450,11,FALSE)))))</f>
        <v/>
      </c>
      <c r="F30" s="184" t="str">
        <f>IF(OR(ISBLANK($C30),ISBLANK($D30),ISBLANK($E$10),ISBLANK($E$11)),"",IFERROR($D30*VLOOKUP((IF(OR($C30="Residential urban land",$C30="Commercial/industrial urban land",$C30="Open urban land",$C30="Greenspace",$C30="Community food growing",$C30="Woodland",$C30="Shrub", $C30="Water"), "|||"&amp;$C30, (VLOOKUP('Stage 2'!$E$9,Lookups!$C$480:$D$482,2,FALSE)&amp;"|"&amp;$C30&amp;"|"&amp;VLOOKUP('Stage 2'!$E$12,Lookups!$C$496:$D$497,2,FALSE)&amp;"|"&amp;VLOOKUP('Stage 2'!$E$11,Lookups!$C$454:$E$476,3,FALSE)&amp;"|"&amp;VLOOKUP($E$10,Lookups!$C$487:$D$492,2,FALSE)))),Lookups!$H$95:$J$450,3,FALSE),IFERROR(IFERROR($D30*VLOOKUP($C30&amp;"|"&amp;VLOOKUP('Stage 2'!$E$12,Lookups!$C$496:$D$497,2,FALSE)&amp;"|"&amp;VLOOKUP('Stage 2'!$E$11,Lookups!$C$454:$E$476,3,FALSE)&amp;"|"&amp;VLOOKUP($E$10,Lookups!$C$487:$D$492,2,FALSE),Lookups!$H$95:$J$450,3,FALSE),IFERROR($D30*VLOOKUP($C30&amp;"|"&amp;"TRUE"&amp;"|"&amp;VLOOKUP('Stage 2'!$E$11,Lookups!$C$454:$E$476,3,FALSE)&amp;"|"&amp;VLOOKUP($E$10,Lookups!$C$487:$D$492,2,FALSE),Lookups!$H$95:$J$450,3,FALSE),$D30*VLOOKUP($C30&amp;"|"&amp;VLOOKUP('Stage 2'!$E$12,Lookups!$C$496:$D$497,2,FALSE)&amp;"|"&amp;VLOOKUP('Stage 2'!$E$11,Lookups!$C$454:$E$476,3,FALSE)&amp;"|"&amp;"DrainedArGr",Lookups!$H$95:$J$450,3,FALSE))),IFERROR($D30*VLOOKUP($C30&amp;"|"&amp;VLOOKUP('Stage 2'!$E$11,Lookups!$C$454:$E$476,3,FALSE),Lookups!$K$95:$M$450,3,FALSE),$D30*VLOOKUP($C30,Lookups!$D$95:$O$450,12,FALSE)))))</f>
        <v/>
      </c>
      <c r="G30" s="160"/>
    </row>
    <row r="31" spans="1:7" ht="15.75" thickBot="1">
      <c r="A31" s="141"/>
      <c r="B31" s="1"/>
      <c r="C31" s="111"/>
      <c r="D31" s="113"/>
      <c r="E31" s="224" t="str">
        <f>IF(OR(ISBLANK($C31),ISBLANK($D31),ISBLANK($E$10),ISBLANK($E$11)),"",IFERROR($D31*VLOOKUP((IF(OR($C31="Residential urban land",$C31="Commercial/industrial urban land",$C31="Open urban land",$C31="Greenspace",$C31="Community food growing",$C31="Woodland",$C31="Shrub", $C31="Water"), "|||"&amp;$C31, (VLOOKUP('Stage 2'!$E$9,Lookups!$C$480:$D$482,2,FALSE)&amp;"|"&amp;$C31&amp;"|"&amp;VLOOKUP('Stage 2'!$E$12,Lookups!$C$496:$D$497,2,FALSE)&amp;"|"&amp;VLOOKUP('Stage 2'!$E$11,Lookups!$C$454:$E$476,3,FALSE)&amp;"|"&amp;VLOOKUP($E$10,Lookups!$C$487:$D$492,2,FALSE)))),Lookups!$H$95:$J$450,2,FALSE),IFERROR(IFERROR($D31*VLOOKUP($C31&amp;"|"&amp;VLOOKUP('Stage 2'!$E$12,Lookups!$C$496:$D$497,2,FALSE)&amp;"|"&amp;VLOOKUP('Stage 2'!$E$11,Lookups!$C$454:$E$476,3,FALSE)&amp;"|"&amp;VLOOKUP($E$10,Lookups!$C$487:$D$492,2,FALSE),Lookups!$H$95:$J$450,2,FALSE),IFERROR($D31*VLOOKUP($C31&amp;"|"&amp;"TRUE"&amp;"|"&amp;VLOOKUP('Stage 2'!$E$11,Lookups!$C$454:$E$476,3,FALSE)&amp;"|"&amp;VLOOKUP($E$10,Lookups!$C$487:$D$492,2,FALSE),Lookups!$H$95:$J$450,2,FALSE),$D31*VLOOKUP($C31&amp;"|"&amp;VLOOKUP('Stage 2'!$E$12,Lookups!$C$496:$D$497,2,FALSE)&amp;"|"&amp;VLOOKUP('Stage 2'!$E$11,Lookups!$C$454:$E$476,3,FALSE)&amp;"|"&amp;"DrainedArGr",Lookups!$H$95:$J$450,2,FALSE))),IFERROR($D31*VLOOKUP($C31&amp;"|"&amp;VLOOKUP('Stage 2'!$E$11,Lookups!$C$454:$E$476,3,FALSE),Lookups!$K$95:$M$450,2,FALSE),$D31*VLOOKUP($C31,Lookups!$D$95:$O$450,11,FALSE)))))</f>
        <v/>
      </c>
      <c r="F31" s="184" t="str">
        <f>IF(OR(ISBLANK($C31),ISBLANK($D31),ISBLANK($E$10),ISBLANK($E$11)),"",IFERROR($D31*VLOOKUP((IF(OR($C31="Residential urban land",$C31="Commercial/industrial urban land",$C31="Open urban land",$C31="Greenspace",$C31="Community food growing",$C31="Woodland",$C31="Shrub", $C31="Water"), "|||"&amp;$C31, (VLOOKUP('Stage 2'!$E$9,Lookups!$C$480:$D$482,2,FALSE)&amp;"|"&amp;$C31&amp;"|"&amp;VLOOKUP('Stage 2'!$E$12,Lookups!$C$496:$D$497,2,FALSE)&amp;"|"&amp;VLOOKUP('Stage 2'!$E$11,Lookups!$C$454:$E$476,3,FALSE)&amp;"|"&amp;VLOOKUP($E$10,Lookups!$C$487:$D$492,2,FALSE)))),Lookups!$H$95:$J$450,3,FALSE),IFERROR(IFERROR($D31*VLOOKUP($C31&amp;"|"&amp;VLOOKUP('Stage 2'!$E$12,Lookups!$C$496:$D$497,2,FALSE)&amp;"|"&amp;VLOOKUP('Stage 2'!$E$11,Lookups!$C$454:$E$476,3,FALSE)&amp;"|"&amp;VLOOKUP($E$10,Lookups!$C$487:$D$492,2,FALSE),Lookups!$H$95:$J$450,3,FALSE),IFERROR($D31*VLOOKUP($C31&amp;"|"&amp;"TRUE"&amp;"|"&amp;VLOOKUP('Stage 2'!$E$11,Lookups!$C$454:$E$476,3,FALSE)&amp;"|"&amp;VLOOKUP($E$10,Lookups!$C$487:$D$492,2,FALSE),Lookups!$H$95:$J$450,3,FALSE),$D31*VLOOKUP($C31&amp;"|"&amp;VLOOKUP('Stage 2'!$E$12,Lookups!$C$496:$D$497,2,FALSE)&amp;"|"&amp;VLOOKUP('Stage 2'!$E$11,Lookups!$C$454:$E$476,3,FALSE)&amp;"|"&amp;"DrainedArGr",Lookups!$H$95:$J$450,3,FALSE))),IFERROR($D31*VLOOKUP($C31&amp;"|"&amp;VLOOKUP('Stage 2'!$E$11,Lookups!$C$454:$E$476,3,FALSE),Lookups!$K$95:$M$450,3,FALSE),$D31*VLOOKUP($C31,Lookups!$D$95:$O$450,12,FALSE)))))</f>
        <v/>
      </c>
      <c r="G31" s="160"/>
    </row>
    <row r="32" spans="1:7">
      <c r="A32" s="141"/>
      <c r="B32" s="1"/>
      <c r="C32" s="79" t="s">
        <v>84</v>
      </c>
      <c r="D32" s="104">
        <f>SUM(D15:D31)</f>
        <v>0</v>
      </c>
      <c r="E32" s="225">
        <f>SUM(E15:E31)</f>
        <v>0</v>
      </c>
      <c r="F32" s="226">
        <f>SUM(F15:F31)</f>
        <v>0</v>
      </c>
      <c r="G32" s="125"/>
    </row>
    <row r="33" spans="1:7" ht="15.75" thickBot="1">
      <c r="A33" s="141"/>
      <c r="B33" s="152"/>
      <c r="C33" s="138"/>
      <c r="D33" s="138"/>
      <c r="E33" s="138"/>
      <c r="F33" s="138"/>
      <c r="G33" s="139"/>
    </row>
    <row r="34" ht="15.75" thickTop="1"/>
  </sheetData>
  <sheetProtection algorithmName="SHA-512" hashValue="85cVSUsO80yS/O1+8YkBTMUq/7K4DuTL+rAez7OoGVPGt1m4n3cJsjmyWHL9CRoPV2mh/yg9Y4hPVSqkuPFF7A==" saltValue="nKP+P7STiwWGKvuk5/yTjg==" spinCount="100000" sheet="1" selectLockedCells="1"/>
  <mergeCells count="6">
    <mergeCell ref="C12:D12"/>
    <mergeCell ref="C9:D9"/>
    <mergeCell ref="C10:D10"/>
    <mergeCell ref="C11:D11"/>
    <mergeCell ref="B3:G5"/>
    <mergeCell ref="C7:F7"/>
  </mergeCells>
  <dataValidations count="6">
    <dataValidation allowBlank="1" showInputMessage="1" showErrorMessage="1" prompt="Please enter area in hectares." sqref="D15:D31"/>
    <dataValidation type="list" operator="greaterThan" allowBlank="1" showInputMessage="1" showErrorMessage="1" errorTitle="Catchment Error" error="Please enter your catchment." prompt="Please enter the Operational Catchment that the development site is within. If unsure Please see the instructions page (Section 3.1) for guidance on how to determine this." sqref="E9">
      <formula1>Lookups!$D$480:$D$482</formula1>
    </dataValidation>
    <dataValidation type="list" allowBlank="1" showInputMessage="1" showErrorMessage="1" errorTitle="Rainfall" error="Rainfall must be entered from the drop down list." prompt="Please enter the annual average rainfall for the development site. If unsure please see the instructions page (Section 3.3) for guidance on how to determine this. If the rainfall volume is not on the list, please select the nearest value." sqref="E11">
      <formula1>Lookups!$C$458:$C$472</formula1>
    </dataValidation>
    <dataValidation type="list" showInputMessage="1" showErrorMessage="1" errorTitle="NVZ" error="Please select whether development area is within an NVZ." prompt="Please select whether the development area is within an NVZ. If unsure please see the instructions page (Section 3.4) for guidance on how to determine this. " sqref="E12">
      <formula1>Lookups!$C$496:$C$497</formula1>
    </dataValidation>
    <dataValidation type="list" operator="greaterThan" allowBlank="1" showInputMessage="1" showErrorMessage="1" errorTitle="Soil drainage type" error="Pleas enter the soil drainage type for the development site." prompt="Please enter the soil drainage type for the development site. If unsure please see the instructions page (Section 3.2) for guidance on how to determine this." sqref="E10">
      <formula1>Lookups!$C$487:$C$492</formula1>
    </dataValidation>
    <dataValidation type="list" allowBlank="1" showInputMessage="1" showErrorMessage="1" errorTitle="Landcover" error="Please select all pre exisitng landcover types." prompt="Select exisiting (pre-development) land use types from the drop down list." sqref="C15:C31">
      <formula1>Lookups!$I$480:$I$495</formula1>
    </dataValidation>
  </dataValidations>
  <pageMargins left="0.7" right="0.7" top="0.75" bottom="0.75" header="0.3" footer="0.3"/>
  <pageSetup paperSize="9" orientation="portrait"/>
  <headerFooter scaleWithDoc="1" alignWithMargins="0" differentFirst="0" differentOddEven="0"/>
  <extLst/>
</worksheet>
</file>

<file path=xl/worksheets/sheet8.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3:K29"/>
  <sheetViews>
    <sheetView showRowColHeaders="0" view="normal" workbookViewId="0">
      <selection pane="topLeft" activeCell="C10" sqref="C10"/>
    </sheetView>
  </sheetViews>
  <sheetFormatPr defaultColWidth="9.140625" defaultRowHeight="15"/>
  <cols>
    <col min="1" max="1" width="9.140625" style="140" customWidth="1"/>
    <col min="2" max="2" width="4.7109375" style="140" customWidth="1"/>
    <col min="3" max="3" width="32" style="140" customWidth="1"/>
    <col min="4" max="4" width="12.41796875" style="140" customWidth="1"/>
    <col min="5" max="5" width="19.5703125" style="140" customWidth="1"/>
    <col min="6" max="6" width="18.84765625" style="140" customWidth="1"/>
    <col min="7" max="7" width="4.5703125" style="140" customWidth="1"/>
    <col min="8" max="16384" width="9.140625" style="140" customWidth="1"/>
  </cols>
  <sheetData>
    <row r="3" spans="1:7">
      <c r="A3" s="141"/>
      <c r="B3" s="258" t="s">
        <v>200</v>
      </c>
      <c r="C3" s="265"/>
      <c r="D3" s="265"/>
      <c r="E3" s="265"/>
      <c r="F3" s="265"/>
      <c r="G3" s="260"/>
    </row>
    <row r="4" spans="1:7">
      <c r="A4" s="141"/>
      <c r="B4" s="258"/>
      <c r="C4" s="265"/>
      <c r="D4" s="265"/>
      <c r="E4" s="265"/>
      <c r="F4" s="265"/>
      <c r="G4" s="260"/>
    </row>
    <row r="5" spans="1:7">
      <c r="A5" s="141"/>
      <c r="B5" s="258"/>
      <c r="C5" s="265"/>
      <c r="D5" s="265"/>
      <c r="E5" s="265"/>
      <c r="F5" s="265"/>
      <c r="G5" s="260"/>
    </row>
    <row r="6" spans="1:7" ht="17.25">
      <c r="A6" s="141"/>
      <c r="B6" s="4"/>
      <c r="C6" s="1"/>
      <c r="D6" s="1"/>
      <c r="E6" s="1"/>
      <c r="F6" s="1"/>
      <c r="G6" s="150"/>
    </row>
    <row r="7" spans="1:7" ht="18" customHeight="1">
      <c r="A7" s="141"/>
      <c r="B7" s="4"/>
      <c r="C7" s="263" t="s">
        <v>195</v>
      </c>
      <c r="D7" s="263"/>
      <c r="E7" s="263"/>
      <c r="F7" s="263"/>
      <c r="G7" s="149"/>
    </row>
    <row r="8" spans="1:7">
      <c r="A8" s="141"/>
      <c r="B8" s="1"/>
      <c r="C8" s="1"/>
      <c r="D8" s="1"/>
      <c r="E8" s="1"/>
      <c r="F8" s="1"/>
      <c r="G8" s="125"/>
    </row>
    <row r="9" spans="1:7" ht="68.25" customHeight="1" thickBot="1">
      <c r="A9" s="141"/>
      <c r="B9" s="1"/>
      <c r="C9" s="80" t="s">
        <v>144</v>
      </c>
      <c r="D9" s="80" t="s">
        <v>98</v>
      </c>
      <c r="E9" s="77" t="s">
        <v>197</v>
      </c>
      <c r="F9" s="78" t="s">
        <v>204</v>
      </c>
      <c r="G9" s="125"/>
    </row>
    <row r="10" spans="1:7">
      <c r="A10" s="141"/>
      <c r="B10" s="1"/>
      <c r="C10" s="111"/>
      <c r="D10" s="112"/>
      <c r="E10" s="224" t="str">
        <f>IF(OR(ISBLANK(C10),ISBLANK(D10)),"",D10*VLOOKUP((IF(OR(C10="Residential urban land",C10="Commercial/industrial urban land",C10="Open urban land",C10="Greenspace",C10="Community food growing",C10="Woodland",C10="Shrub", C10="Water"), "|||"&amp;C10, (VLOOKUP('Stage 2'!$E$9,Lookups!$C$480:$D$482,2,FALSE)&amp;"|"&amp;C10&amp;"|"&amp;VLOOKUP('Stage 2'!$E$12,Lookups!$C$496:$D$497,2,FALSE)&amp;"|"&amp;VLOOKUP('Stage 2'!$E$11,Lookups!$C$454:$E$476,3,FALSE)&amp;"|"&amp;VLOOKUP('Stage 2'!$E$10,Lookups!$C$487:$E$492,2,FALSE)))),Lookups!$H$95:$J$450,2,FALSE))</f>
        <v/>
      </c>
      <c r="F10" s="184" t="str">
        <f>IF(OR(ISBLANK(C10),ISBLANK(D10)),"",D10*VLOOKUP((IF(OR(C10="Residential urban land",C10="Commercial/industrial urban land",C10="Open urban land",C10="Greenspace",C10="Community food growing",C10="Woodland",C10="Shrub", C10="Water"), "|||"&amp;C10, (VLOOKUP('Stage 2'!$E$9,Lookups!$C$480:$D$482,2,FALSE)&amp;"|"&amp;C10&amp;"|"&amp;VLOOKUP('Stage 2'!$E$12,Lookups!$C$496:$D$497,2,FALSE)&amp;"|"&amp;VLOOKUP('Stage 2'!$E$11,Lookups!$C$454:$E$476,3,FALSE)&amp;"|"&amp;VLOOKUP('Stage 2'!$E$10,Lookups!$C$487:$E$492,2,FALSE)))),Lookups!$H$95:$J$450,3,FALSE))</f>
        <v/>
      </c>
      <c r="G10" s="125"/>
    </row>
    <row r="11" spans="1:7">
      <c r="A11" s="141"/>
      <c r="B11" s="1"/>
      <c r="C11" s="111"/>
      <c r="D11" s="112"/>
      <c r="E11" s="224" t="str">
        <f>IF(OR(ISBLANK(C11),ISBLANK(D11)),"",D11*VLOOKUP((IF(OR(C11="Residential urban land",C11="Commercial/industrial urban land",C11="Open urban land",C11="Greenspace",C11="Community food growing",C11="Woodland",C11="Shrub", C11="Water"), "|||"&amp;C11, (VLOOKUP('Stage 2'!$E$9,Lookups!$C$480:$D$482,2,FALSE)&amp;"|"&amp;C11&amp;"|"&amp;VLOOKUP('Stage 2'!$E$12,Lookups!$C$496:$D$497,2,FALSE)&amp;"|"&amp;VLOOKUP('Stage 2'!$E$11,Lookups!$C$454:$E$476,3,FALSE)&amp;"|"&amp;VLOOKUP('Stage 2'!$E$10,Lookups!$C$487:$E$492,2,FALSE)))),Lookups!$H$95:$J$450,2,FALSE))</f>
        <v/>
      </c>
      <c r="F11" s="184" t="str">
        <f>IF(OR(ISBLANK(C11),ISBLANK(D11)),"",D11*VLOOKUP((IF(OR(C11="Residential urban land",C11="Commercial/industrial urban land",C11="Open urban land",C11="Greenspace",C11="Community food growing",C11="Woodland",C11="Shrub", C11="Water"), "|||"&amp;C11, (VLOOKUP('Stage 2'!$E$9,Lookups!$C$480:$D$482,2,FALSE)&amp;"|"&amp;C11&amp;"|"&amp;VLOOKUP('Stage 2'!$E$12,Lookups!$C$496:$D$497,2,FALSE)&amp;"|"&amp;VLOOKUP('Stage 2'!$E$11,Lookups!$C$454:$E$476,3,FALSE)&amp;"|"&amp;VLOOKUP('Stage 2'!$E$10,Lookups!$C$487:$E$492,2,FALSE)))),Lookups!$H$95:$J$450,3,FALSE))</f>
        <v/>
      </c>
      <c r="G11" s="125"/>
    </row>
    <row r="12" spans="1:7">
      <c r="A12" s="141"/>
      <c r="B12" s="1"/>
      <c r="C12" s="111"/>
      <c r="D12" s="112"/>
      <c r="E12" s="224" t="str">
        <f>IF(OR(ISBLANK(C12),ISBLANK(D12)),"",D12*VLOOKUP((IF(OR(C12="Residential urban land",C12="Commercial/industrial urban land",C12="Open urban land",C12="Greenspace",C12="Community food growing",C12="Woodland",C12="Shrub", C12="Water"), "|||"&amp;C12, (VLOOKUP('Stage 2'!$E$9,Lookups!$C$480:$D$482,2,FALSE)&amp;"|"&amp;C12&amp;"|"&amp;VLOOKUP('Stage 2'!$E$12,Lookups!$C$496:$D$497,2,FALSE)&amp;"|"&amp;VLOOKUP('Stage 2'!$E$11,Lookups!$C$454:$E$476,3,FALSE)&amp;"|"&amp;VLOOKUP('Stage 2'!$E$10,Lookups!$C$487:$E$492,2,FALSE)))),Lookups!$H$95:$J$450,2,FALSE))</f>
        <v/>
      </c>
      <c r="F12" s="184" t="str">
        <f>IF(OR(ISBLANK(C12),ISBLANK(D12)),"",D12*VLOOKUP((IF(OR(C12="Residential urban land",C12="Commercial/industrial urban land",C12="Open urban land",C12="Greenspace",C12="Community food growing",C12="Woodland",C12="Shrub", C12="Water"), "|||"&amp;C12, (VLOOKUP('Stage 2'!$E$9,Lookups!$C$480:$D$482,2,FALSE)&amp;"|"&amp;C12&amp;"|"&amp;VLOOKUP('Stage 2'!$E$12,Lookups!$C$496:$D$497,2,FALSE)&amp;"|"&amp;VLOOKUP('Stage 2'!$E$11,Lookups!$C$454:$E$476,3,FALSE)&amp;"|"&amp;VLOOKUP('Stage 2'!$E$10,Lookups!$C$487:$E$492,2,FALSE)))),Lookups!$H$95:$J$450,3,FALSE))</f>
        <v/>
      </c>
      <c r="G12" s="125"/>
    </row>
    <row r="13" spans="1:7">
      <c r="A13" s="141"/>
      <c r="B13" s="1"/>
      <c r="C13" s="111"/>
      <c r="D13" s="112"/>
      <c r="E13" s="224" t="str">
        <f>IF(OR(ISBLANK(C13),ISBLANK(D13)),"",D13*VLOOKUP((IF(OR(C13="Residential urban land",C13="Commercial/industrial urban land",C13="Open urban land",C13="Greenspace",C13="Community food growing",C13="Woodland",C13="Shrub", C13="Water"), "|||"&amp;C13, (VLOOKUP('Stage 2'!$E$9,Lookups!$C$480:$D$482,2,FALSE)&amp;"|"&amp;C13&amp;"|"&amp;VLOOKUP('Stage 2'!$E$12,Lookups!$C$496:$D$497,2,FALSE)&amp;"|"&amp;VLOOKUP('Stage 2'!$E$11,Lookups!$C$454:$E$476,3,FALSE)&amp;"|"&amp;VLOOKUP('Stage 2'!$E$10,Lookups!$C$487:$E$492,2,FALSE)))),Lookups!$H$95:$J$450,2,FALSE))</f>
        <v/>
      </c>
      <c r="F13" s="184" t="str">
        <f>IF(OR(ISBLANK(C13),ISBLANK(D13)),"",D13*VLOOKUP((IF(OR(C13="Residential urban land",C13="Commercial/industrial urban land",C13="Open urban land",C13="Greenspace",C13="Community food growing",C13="Woodland",C13="Shrub", C13="Water"), "|||"&amp;C13, (VLOOKUP('Stage 2'!$E$9,Lookups!$C$480:$D$482,2,FALSE)&amp;"|"&amp;C13&amp;"|"&amp;VLOOKUP('Stage 2'!$E$12,Lookups!$C$496:$D$497,2,FALSE)&amp;"|"&amp;VLOOKUP('Stage 2'!$E$11,Lookups!$C$454:$E$476,3,FALSE)&amp;"|"&amp;VLOOKUP('Stage 2'!$E$10,Lookups!$C$487:$E$492,2,FALSE)))),Lookups!$H$95:$J$450,3,FALSE))</f>
        <v/>
      </c>
      <c r="G13" s="125"/>
    </row>
    <row r="14" spans="1:7">
      <c r="A14" s="141"/>
      <c r="B14" s="1"/>
      <c r="C14" s="111"/>
      <c r="D14" s="112"/>
      <c r="E14" s="224" t="str">
        <f>IF(OR(ISBLANK(C14),ISBLANK(D14)),"",D14*VLOOKUP((IF(OR(C14="Residential urban land",C14="Commercial/industrial urban land",C14="Open urban land",C14="Greenspace",C14="Community food growing",C14="Woodland",C14="Shrub", C14="Water"), "|||"&amp;C14, (VLOOKUP('Stage 2'!$E$9,Lookups!$C$480:$D$482,2,FALSE)&amp;"|"&amp;C14&amp;"|"&amp;VLOOKUP('Stage 2'!$E$12,Lookups!$C$496:$D$497,2,FALSE)&amp;"|"&amp;VLOOKUP('Stage 2'!$E$11,Lookups!$C$454:$E$476,3,FALSE)&amp;"|"&amp;VLOOKUP('Stage 2'!$E$10,Lookups!$C$487:$E$492,2,FALSE)))),Lookups!$H$95:$J$450,2,FALSE))</f>
        <v/>
      </c>
      <c r="F14" s="184" t="str">
        <f>IF(OR(ISBLANK(C14),ISBLANK(D14)),"",D14*VLOOKUP((IF(OR(C14="Residential urban land",C14="Commercial/industrial urban land",C14="Open urban land",C14="Greenspace",C14="Community food growing",C14="Woodland",C14="Shrub", C14="Water"), "|||"&amp;C14, (VLOOKUP('Stage 2'!$E$9,Lookups!$C$480:$D$482,2,FALSE)&amp;"|"&amp;C14&amp;"|"&amp;VLOOKUP('Stage 2'!$E$12,Lookups!$C$496:$D$497,2,FALSE)&amp;"|"&amp;VLOOKUP('Stage 2'!$E$11,Lookups!$C$454:$E$476,3,FALSE)&amp;"|"&amp;VLOOKUP('Stage 2'!$E$10,Lookups!$C$487:$E$492,2,FALSE)))),Lookups!$H$95:$J$450,3,FALSE))</f>
        <v/>
      </c>
      <c r="G14" s="125"/>
    </row>
    <row r="15" spans="1:9">
      <c r="A15" s="141"/>
      <c r="B15" s="1"/>
      <c r="C15" s="111"/>
      <c r="D15" s="112"/>
      <c r="E15" s="224" t="str">
        <f>IF(OR(ISBLANK(C15),ISBLANK(D15)),"",D15*VLOOKUP((IF(OR(C15="Residential urban land",C15="Commercial/industrial urban land",C15="Open urban land",C15="Greenspace",C15="Community food growing",C15="Woodland",C15="Shrub", C15="Water"), "|||"&amp;C15, (VLOOKUP('Stage 2'!$E$9,Lookups!$C$480:$D$482,2,FALSE)&amp;"|"&amp;C15&amp;"|"&amp;VLOOKUP('Stage 2'!$E$12,Lookups!$C$496:$D$497,2,FALSE)&amp;"|"&amp;VLOOKUP('Stage 2'!$E$11,Lookups!$C$454:$E$476,3,FALSE)&amp;"|"&amp;VLOOKUP('Stage 2'!$E$10,Lookups!$C$487:$E$492,2,FALSE)))),Lookups!$H$95:$J$450,2,FALSE))</f>
        <v/>
      </c>
      <c r="F15" s="184" t="str">
        <f>IF(OR(ISBLANK(C15),ISBLANK(D15)),"",D15*VLOOKUP((IF(OR(C15="Residential urban land",C15="Commercial/industrial urban land",C15="Open urban land",C15="Greenspace",C15="Community food growing",C15="Woodland",C15="Shrub", C15="Water"), "|||"&amp;C15, (VLOOKUP('Stage 2'!$E$9,Lookups!$C$480:$D$482,2,FALSE)&amp;"|"&amp;C15&amp;"|"&amp;VLOOKUP('Stage 2'!$E$12,Lookups!$C$496:$D$497,2,FALSE)&amp;"|"&amp;VLOOKUP('Stage 2'!$E$11,Lookups!$C$454:$E$476,3,FALSE)&amp;"|"&amp;VLOOKUP('Stage 2'!$E$10,Lookups!$C$487:$E$492,2,FALSE)))),Lookups!$H$95:$J$450,3,FALSE))</f>
        <v/>
      </c>
      <c r="G15" s="125"/>
      <c r="I15" s="169"/>
    </row>
    <row r="16" spans="1:7">
      <c r="A16" s="141"/>
      <c r="B16" s="1"/>
      <c r="C16" s="111"/>
      <c r="D16" s="112"/>
      <c r="E16" s="224" t="str">
        <f>IF(OR(ISBLANK(C16),ISBLANK(D16)),"",D16*VLOOKUP((IF(OR(C16="Residential urban land",C16="Commercial/industrial urban land",C16="Open urban land",C16="Greenspace",C16="Community food growing",C16="Woodland",C16="Shrub", C16="Water"), "|||"&amp;C16, (VLOOKUP('Stage 2'!$E$9,Lookups!$C$480:$D$482,2,FALSE)&amp;"|"&amp;C16&amp;"|"&amp;VLOOKUP('Stage 2'!$E$12,Lookups!$C$496:$D$497,2,FALSE)&amp;"|"&amp;VLOOKUP('Stage 2'!$E$11,Lookups!$C$454:$E$476,3,FALSE)&amp;"|"&amp;VLOOKUP('Stage 2'!$E$10,Lookups!$C$487:$E$492,2,FALSE)))),Lookups!$H$95:$J$450,2,FALSE))</f>
        <v/>
      </c>
      <c r="F16" s="184" t="str">
        <f>IF(OR(ISBLANK(C16),ISBLANK(D16)),"",D16*VLOOKUP((IF(OR(C16="Residential urban land",C16="Commercial/industrial urban land",C16="Open urban land",C16="Greenspace",C16="Community food growing",C16="Woodland",C16="Shrub", C16="Water"), "|||"&amp;C16, (VLOOKUP('Stage 2'!$E$9,Lookups!$C$480:$D$482,2,FALSE)&amp;"|"&amp;C16&amp;"|"&amp;VLOOKUP('Stage 2'!$E$12,Lookups!$C$496:$D$497,2,FALSE)&amp;"|"&amp;VLOOKUP('Stage 2'!$E$11,Lookups!$C$454:$E$476,3,FALSE)&amp;"|"&amp;VLOOKUP('Stage 2'!$E$10,Lookups!$C$487:$E$492,2,FALSE)))),Lookups!$H$95:$J$450,3,FALSE))</f>
        <v/>
      </c>
      <c r="G16" s="125"/>
    </row>
    <row r="17" spans="1:7">
      <c r="A17" s="141"/>
      <c r="B17" s="1"/>
      <c r="C17" s="111"/>
      <c r="D17" s="112"/>
      <c r="E17" s="224" t="str">
        <f>IF(OR(ISBLANK(C17),ISBLANK(D17)),"",D17*VLOOKUP((IF(OR(C17="Residential urban land",C17="Commercial/industrial urban land",C17="Open urban land",C17="Greenspace",C17="Community food growing",C17="Woodland",C17="Shrub", C17="Water"), "|||"&amp;C17, (VLOOKUP('Stage 2'!$E$9,Lookups!$C$480:$D$482,2,FALSE)&amp;"|"&amp;C17&amp;"|"&amp;VLOOKUP('Stage 2'!$E$12,Lookups!$C$496:$D$497,2,FALSE)&amp;"|"&amp;VLOOKUP('Stage 2'!$E$11,Lookups!$C$454:$E$476,3,FALSE)&amp;"|"&amp;VLOOKUP('Stage 2'!$E$10,Lookups!$C$487:$E$492,2,FALSE)))),Lookups!$H$95:$J$450,2,FALSE))</f>
        <v/>
      </c>
      <c r="F17" s="184" t="str">
        <f>IF(OR(ISBLANK(C17),ISBLANK(D17)),"",D17*VLOOKUP((IF(OR(C17="Residential urban land",C17="Commercial/industrial urban land",C17="Open urban land",C17="Greenspace",C17="Community food growing",C17="Woodland",C17="Shrub", C17="Water"), "|||"&amp;C17, (VLOOKUP('Stage 2'!$E$9,Lookups!$C$480:$D$482,2,FALSE)&amp;"|"&amp;C17&amp;"|"&amp;VLOOKUP('Stage 2'!$E$12,Lookups!$C$496:$D$497,2,FALSE)&amp;"|"&amp;VLOOKUP('Stage 2'!$E$11,Lookups!$C$454:$E$476,3,FALSE)&amp;"|"&amp;VLOOKUP('Stage 2'!$E$10,Lookups!$C$487:$E$492,2,FALSE)))),Lookups!$H$95:$J$450,3,FALSE))</f>
        <v/>
      </c>
      <c r="G17" s="125"/>
    </row>
    <row r="18" spans="1:7">
      <c r="A18" s="141"/>
      <c r="B18" s="1"/>
      <c r="C18" s="111"/>
      <c r="D18" s="121"/>
      <c r="E18" s="224" t="str">
        <f>IF(OR(ISBLANK(C18),ISBLANK(D18)),"",D18*VLOOKUP((IF(OR(C18="Residential urban land",C18="Commercial/industrial urban land",C18="Open urban land",C18="Greenspace",C18="Community food growing",C18="Woodland",C18="Shrub", C18="Water"), "|||"&amp;C18, (VLOOKUP('Stage 2'!$E$9,Lookups!$C$480:$D$482,2,FALSE)&amp;"|"&amp;C18&amp;"|"&amp;VLOOKUP('Stage 2'!$E$12,Lookups!$C$496:$D$497,2,FALSE)&amp;"|"&amp;VLOOKUP('Stage 2'!$E$11,Lookups!$C$454:$E$476,3,FALSE)&amp;"|"&amp;VLOOKUP('Stage 2'!$E$10,Lookups!$C$487:$E$492,2,FALSE)))),Lookups!$H$95:$J$450,2,FALSE))</f>
        <v/>
      </c>
      <c r="F18" s="184" t="str">
        <f>IF(OR(ISBLANK(C18),ISBLANK(D18)),"",D18*VLOOKUP((IF(OR(C18="Residential urban land",C18="Commercial/industrial urban land",C18="Open urban land",C18="Greenspace",C18="Community food growing",C18="Woodland",C18="Shrub", C18="Water"), "|||"&amp;C18, (VLOOKUP('Stage 2'!$E$9,Lookups!$C$480:$D$482,2,FALSE)&amp;"|"&amp;C18&amp;"|"&amp;VLOOKUP('Stage 2'!$E$12,Lookups!$C$496:$D$497,2,FALSE)&amp;"|"&amp;VLOOKUP('Stage 2'!$E$11,Lookups!$C$454:$E$476,3,FALSE)&amp;"|"&amp;VLOOKUP('Stage 2'!$E$10,Lookups!$C$487:$E$492,2,FALSE)))),Lookups!$H$95:$J$450,3,FALSE))</f>
        <v/>
      </c>
      <c r="G18" s="125"/>
    </row>
    <row r="19" spans="1:7">
      <c r="A19" s="141"/>
      <c r="B19" s="1"/>
      <c r="C19" s="111"/>
      <c r="D19" s="121"/>
      <c r="E19" s="224" t="str">
        <f>IF(OR(ISBLANK(C19),ISBLANK(D19)),"",D19*VLOOKUP((IF(OR(C19="Residential urban land",C19="Commercial/industrial urban land",C19="Open urban land",C19="Greenspace",C19="Community food growing",C19="Woodland",C19="Shrub", C19="Water"), "|||"&amp;C19, (VLOOKUP('Stage 2'!$E$9,Lookups!$C$480:$D$482,2,FALSE)&amp;"|"&amp;C19&amp;"|"&amp;VLOOKUP('Stage 2'!$E$12,Lookups!$C$496:$D$497,2,FALSE)&amp;"|"&amp;VLOOKUP('Stage 2'!$E$11,Lookups!$C$454:$E$476,3,FALSE)&amp;"|"&amp;VLOOKUP('Stage 2'!$E$10,Lookups!$C$487:$E$492,2,FALSE)))),Lookups!$H$95:$J$450,2,FALSE))</f>
        <v/>
      </c>
      <c r="F19" s="184" t="str">
        <f>IF(OR(ISBLANK(C19),ISBLANK(D19)),"",D19*VLOOKUP((IF(OR(C19="Residential urban land",C19="Commercial/industrial urban land",C19="Open urban land",C19="Greenspace",C19="Community food growing",C19="Woodland",C19="Shrub", C19="Water"), "|||"&amp;C19, (VLOOKUP('Stage 2'!$E$9,Lookups!$C$480:$D$482,2,FALSE)&amp;"|"&amp;C19&amp;"|"&amp;VLOOKUP('Stage 2'!$E$12,Lookups!$C$496:$D$497,2,FALSE)&amp;"|"&amp;VLOOKUP('Stage 2'!$E$11,Lookups!$C$454:$E$476,3,FALSE)&amp;"|"&amp;VLOOKUP('Stage 2'!$E$10,Lookups!$C$487:$E$492,2,FALSE)))),Lookups!$H$95:$J$450,3,FALSE))</f>
        <v/>
      </c>
      <c r="G19" s="125"/>
    </row>
    <row r="20" spans="1:7">
      <c r="A20" s="141"/>
      <c r="B20" s="1"/>
      <c r="C20" s="111"/>
      <c r="D20" s="121"/>
      <c r="E20" s="224" t="str">
        <f>IF(OR(ISBLANK(C20),ISBLANK(D20)),"",D20*VLOOKUP((IF(OR(C20="Residential urban land",C20="Commercial/industrial urban land",C20="Open urban land",C20="Greenspace",C20="Community food growing",C20="Woodland",C20="Shrub", C20="Water"), "|||"&amp;C20, (VLOOKUP('Stage 2'!$E$9,Lookups!$C$480:$D$482,2,FALSE)&amp;"|"&amp;C20&amp;"|"&amp;VLOOKUP('Stage 2'!$E$12,Lookups!$C$496:$D$497,2,FALSE)&amp;"|"&amp;VLOOKUP('Stage 2'!$E$11,Lookups!$C$454:$E$476,3,FALSE)&amp;"|"&amp;VLOOKUP('Stage 2'!$E$10,Lookups!$C$487:$E$492,2,FALSE)))),Lookups!$H$95:$J$450,2,FALSE))</f>
        <v/>
      </c>
      <c r="F20" s="184" t="str">
        <f>IF(OR(ISBLANK(C20),ISBLANK(D20)),"",D20*VLOOKUP((IF(OR(C20="Residential urban land",C20="Commercial/industrial urban land",C20="Open urban land",C20="Greenspace",C20="Community food growing",C20="Woodland",C20="Shrub", C20="Water"), "|||"&amp;C20, (VLOOKUP('Stage 2'!$E$9,Lookups!$C$480:$D$482,2,FALSE)&amp;"|"&amp;C20&amp;"|"&amp;VLOOKUP('Stage 2'!$E$12,Lookups!$C$496:$D$497,2,FALSE)&amp;"|"&amp;VLOOKUP('Stage 2'!$E$11,Lookups!$C$454:$E$476,3,FALSE)&amp;"|"&amp;VLOOKUP('Stage 2'!$E$10,Lookups!$C$487:$E$492,2,FALSE)))),Lookups!$H$95:$J$450,3,FALSE))</f>
        <v/>
      </c>
      <c r="G20" s="125"/>
    </row>
    <row r="21" spans="1:11">
      <c r="A21" s="141"/>
      <c r="B21" s="1"/>
      <c r="C21" s="111"/>
      <c r="D21" s="121"/>
      <c r="E21" s="224" t="str">
        <f>IF(OR(ISBLANK(C21),ISBLANK(D21)),"",D21*VLOOKUP((IF(OR(C21="Residential urban land",C21="Commercial/industrial urban land",C21="Open urban land",C21="Greenspace",C21="Community food growing",C21="Woodland",C21="Shrub", C21="Water"), "|||"&amp;C21, (VLOOKUP('Stage 2'!$E$9,Lookups!$C$480:$D$482,2,FALSE)&amp;"|"&amp;C21&amp;"|"&amp;VLOOKUP('Stage 2'!$E$12,Lookups!$C$496:$D$497,2,FALSE)&amp;"|"&amp;VLOOKUP('Stage 2'!$E$11,Lookups!$C$454:$E$476,3,FALSE)&amp;"|"&amp;VLOOKUP('Stage 2'!$E$10,Lookups!$C$487:$E$492,2,FALSE)))),Lookups!$H$95:$J$450,2,FALSE))</f>
        <v/>
      </c>
      <c r="F21" s="184" t="str">
        <f>IF(OR(ISBLANK(C21),ISBLANK(D21)),"",D21*VLOOKUP((IF(OR(C21="Residential urban land",C21="Commercial/industrial urban land",C21="Open urban land",C21="Greenspace",C21="Community food growing",C21="Woodland",C21="Shrub", C21="Water"), "|||"&amp;C21, (VLOOKUP('Stage 2'!$E$9,Lookups!$C$480:$D$482,2,FALSE)&amp;"|"&amp;C21&amp;"|"&amp;VLOOKUP('Stage 2'!$E$12,Lookups!$C$496:$D$497,2,FALSE)&amp;"|"&amp;VLOOKUP('Stage 2'!$E$11,Lookups!$C$454:$E$476,3,FALSE)&amp;"|"&amp;VLOOKUP('Stage 2'!$E$10,Lookups!$C$487:$E$492,2,FALSE)))),Lookups!$H$95:$J$450,3,FALSE))</f>
        <v/>
      </c>
      <c r="G21" s="125"/>
      <c r="K21" s="143"/>
    </row>
    <row r="22" spans="1:7">
      <c r="A22" s="141"/>
      <c r="B22" s="1"/>
      <c r="C22" s="111"/>
      <c r="D22" s="121"/>
      <c r="E22" s="224" t="str">
        <f>IF(OR(ISBLANK(C22),ISBLANK(D22)),"",D22*VLOOKUP((IF(OR(C22="Residential urban land",C22="Commercial/industrial urban land",C22="Open urban land",C22="Greenspace",C22="Community food growing",C22="Woodland",C22="Shrub", C22="Water"), "|||"&amp;C22, (VLOOKUP('Stage 2'!$E$9,Lookups!$C$480:$D$482,2,FALSE)&amp;"|"&amp;C22&amp;"|"&amp;VLOOKUP('Stage 2'!$E$12,Lookups!$C$496:$D$497,2,FALSE)&amp;"|"&amp;VLOOKUP('Stage 2'!$E$11,Lookups!$C$454:$E$476,3,FALSE)&amp;"|"&amp;VLOOKUP('Stage 2'!$E$10,Lookups!$C$487:$E$492,2,FALSE)))),Lookups!$H$95:$J$450,2,FALSE))</f>
        <v/>
      </c>
      <c r="F22" s="184" t="str">
        <f>IF(OR(ISBLANK(C22),ISBLANK(D22)),"",D22*VLOOKUP((IF(OR(C22="Residential urban land",C22="Commercial/industrial urban land",C22="Open urban land",C22="Greenspace",C22="Community food growing",C22="Woodland",C22="Shrub", C22="Water"), "|||"&amp;C22, (VLOOKUP('Stage 2'!$E$9,Lookups!$C$480:$D$482,2,FALSE)&amp;"|"&amp;C22&amp;"|"&amp;VLOOKUP('Stage 2'!$E$12,Lookups!$C$496:$D$497,2,FALSE)&amp;"|"&amp;VLOOKUP('Stage 2'!$E$11,Lookups!$C$454:$E$476,3,FALSE)&amp;"|"&amp;VLOOKUP('Stage 2'!$E$10,Lookups!$C$487:$E$492,2,FALSE)))),Lookups!$H$95:$J$450,3,FALSE))</f>
        <v/>
      </c>
      <c r="G22" s="125"/>
    </row>
    <row r="23" spans="1:7">
      <c r="A23" s="141"/>
      <c r="B23" s="1"/>
      <c r="C23" s="111"/>
      <c r="D23" s="122"/>
      <c r="E23" s="224" t="str">
        <f>IF(OR(ISBLANK(C23),ISBLANK(D23)),"",D23*VLOOKUP((IF(OR(C23="Residential urban land",C23="Commercial/industrial urban land",C23="Open urban land",C23="Greenspace",C23="Community food growing",C23="Woodland",C23="Shrub", C23="Water"), "|||"&amp;C23, (VLOOKUP('Stage 2'!$E$9,Lookups!$C$480:$D$482,2,FALSE)&amp;"|"&amp;C23&amp;"|"&amp;VLOOKUP('Stage 2'!$E$12,Lookups!$C$496:$D$497,2,FALSE)&amp;"|"&amp;VLOOKUP('Stage 2'!$E$11,Lookups!$C$454:$E$476,3,FALSE)&amp;"|"&amp;VLOOKUP('Stage 2'!$E$10,Lookups!$C$487:$E$492,2,FALSE)))),Lookups!$H$95:$J$450,2,FALSE))</f>
        <v/>
      </c>
      <c r="F23" s="184" t="str">
        <f>IF(OR(ISBLANK(C23),ISBLANK(D23)),"",D23*VLOOKUP((IF(OR(C23="Residential urban land",C23="Commercial/industrial urban land",C23="Open urban land",C23="Greenspace",C23="Community food growing",C23="Woodland",C23="Shrub", C23="Water"), "|||"&amp;C23, (VLOOKUP('Stage 2'!$E$9,Lookups!$C$480:$D$482,2,FALSE)&amp;"|"&amp;C23&amp;"|"&amp;VLOOKUP('Stage 2'!$E$12,Lookups!$C$496:$D$497,2,FALSE)&amp;"|"&amp;VLOOKUP('Stage 2'!$E$11,Lookups!$C$454:$E$476,3,FALSE)&amp;"|"&amp;VLOOKUP('Stage 2'!$E$10,Lookups!$C$487:$E$492,2,FALSE)))),Lookups!$H$95:$J$450,3,FALSE))</f>
        <v/>
      </c>
      <c r="G23" s="125"/>
    </row>
    <row r="24" spans="1:7">
      <c r="A24" s="141"/>
      <c r="B24" s="1"/>
      <c r="C24" s="111"/>
      <c r="D24" s="120"/>
      <c r="E24" s="224" t="str">
        <f>IF(OR(ISBLANK(C24),ISBLANK(D24)),"",D24*VLOOKUP((IF(OR(C24="Residential urban land",C24="Commercial/industrial urban land",C24="Open urban land",C24="Greenspace",C24="Community food growing",C24="Woodland",C24="Shrub", C24="Water"), "|||"&amp;C24, (VLOOKUP('Stage 2'!$E$9,Lookups!$C$480:$D$482,2,FALSE)&amp;"|"&amp;C24&amp;"|"&amp;VLOOKUP('Stage 2'!$E$12,Lookups!$C$496:$D$497,2,FALSE)&amp;"|"&amp;VLOOKUP('Stage 2'!$E$11,Lookups!$C$454:$E$476,3,FALSE)&amp;"|"&amp;VLOOKUP('Stage 2'!$E$10,Lookups!$C$487:$E$492,2,FALSE)))),Lookups!$H$95:$J$450,2,FALSE))</f>
        <v/>
      </c>
      <c r="F24" s="184" t="str">
        <f>IF(OR(ISBLANK(C24),ISBLANK(D24)),"",D24*VLOOKUP((IF(OR(C24="Residential urban land",C24="Commercial/industrial urban land",C24="Open urban land",C24="Greenspace",C24="Community food growing",C24="Woodland",C24="Shrub", C24="Water"), "|||"&amp;C24, (VLOOKUP('Stage 2'!$E$9,Lookups!$C$480:$D$482,2,FALSE)&amp;"|"&amp;C24&amp;"|"&amp;VLOOKUP('Stage 2'!$E$12,Lookups!$C$496:$D$497,2,FALSE)&amp;"|"&amp;VLOOKUP('Stage 2'!$E$11,Lookups!$C$454:$E$476,3,FALSE)&amp;"|"&amp;VLOOKUP('Stage 2'!$E$10,Lookups!$C$487:$E$492,2,FALSE)))),Lookups!$H$95:$J$450,3,FALSE))</f>
        <v/>
      </c>
      <c r="G24" s="125"/>
    </row>
    <row r="25" spans="1:7">
      <c r="A25" s="141"/>
      <c r="B25" s="1"/>
      <c r="C25" s="111"/>
      <c r="D25" s="120"/>
      <c r="E25" s="224" t="str">
        <f>IF(OR(ISBLANK(C25),ISBLANK(D25)),"",D25*VLOOKUP((IF(OR(C25="Residential urban land",C25="Commercial/industrial urban land",C25="Open urban land",C25="Greenspace",C25="Community food growing",C25="Woodland",C25="Shrub", C25="Water"), "|||"&amp;C25, (VLOOKUP('Stage 2'!$E$9,Lookups!$C$480:$D$482,2,FALSE)&amp;"|"&amp;C25&amp;"|"&amp;VLOOKUP('Stage 2'!$E$12,Lookups!$C$496:$D$497,2,FALSE)&amp;"|"&amp;VLOOKUP('Stage 2'!$E$11,Lookups!$C$454:$E$476,3,FALSE)&amp;"|"&amp;VLOOKUP('Stage 2'!$E$10,Lookups!$C$487:$E$492,2,FALSE)))),Lookups!$H$95:$J$450,2,FALSE))</f>
        <v/>
      </c>
      <c r="F25" s="184" t="str">
        <f>IF(OR(ISBLANK(C25),ISBLANK(D25)),"",D25*VLOOKUP((IF(OR(C25="Residential urban land",C25="Commercial/industrial urban land",C25="Open urban land",C25="Greenspace",C25="Community food growing",C25="Woodland",C25="Shrub", C25="Water"), "|||"&amp;C25, (VLOOKUP('Stage 2'!$E$9,Lookups!$C$480:$D$482,2,FALSE)&amp;"|"&amp;C25&amp;"|"&amp;VLOOKUP('Stage 2'!$E$12,Lookups!$C$496:$D$497,2,FALSE)&amp;"|"&amp;VLOOKUP('Stage 2'!$E$11,Lookups!$C$454:$E$476,3,FALSE)&amp;"|"&amp;VLOOKUP('Stage 2'!$E$10,Lookups!$C$487:$E$492,2,FALSE)))),Lookups!$H$95:$J$450,3,FALSE))</f>
        <v/>
      </c>
      <c r="G25" s="125"/>
    </row>
    <row r="26" spans="1:7" ht="15.75" thickBot="1">
      <c r="A26" s="141"/>
      <c r="B26" s="1"/>
      <c r="C26" s="123"/>
      <c r="D26" s="124"/>
      <c r="E26" s="202" t="str">
        <f>IF(OR(ISBLANK(C26),ISBLANK(D26)),"",D26*VLOOKUP((IF(OR(C26="Residential urban land",C26="Commercial/industrial urban land",C26="Open urban land",C26="Greenspace",C26="Community food growing",C26="Woodland",C26="Shrub", C26="Water"), "|||"&amp;C26, (VLOOKUP('Stage 2'!$E$9,Lookups!$C$480:$D$482,2,FALSE)&amp;"|"&amp;C26&amp;"|"&amp;VLOOKUP('Stage 2'!$E$12,Lookups!$C$496:$D$497,2,FALSE)&amp;"|"&amp;VLOOKUP('Stage 2'!$E$11,Lookups!$C$454:$E$476,3,FALSE)&amp;"|"&amp;VLOOKUP('Stage 2'!$E$10,Lookups!$C$487:$E$492,2,FALSE)))),Lookups!$H$95:$J$450,2,FALSE))</f>
        <v/>
      </c>
      <c r="F26" s="203" t="str">
        <f>IF(OR(ISBLANK(C26),ISBLANK(D26)),"",D26*VLOOKUP((IF(OR(C26="Residential urban land",C26="Commercial/industrial urban land",C26="Open urban land",C26="Greenspace",C26="Community food growing",C26="Woodland",C26="Shrub", C26="Water"), "|||"&amp;C26, (VLOOKUP('Stage 2'!$E$9,Lookups!$C$480:$D$482,2,FALSE)&amp;"|"&amp;C26&amp;"|"&amp;VLOOKUP('Stage 2'!$E$12,Lookups!$C$496:$D$497,2,FALSE)&amp;"|"&amp;VLOOKUP('Stage 2'!$E$11,Lookups!$C$454:$E$476,3,FALSE)&amp;"|"&amp;VLOOKUP('Stage 2'!$E$10,Lookups!$C$487:$E$492,2,FALSE)))),Lookups!$H$95:$J$450,3,FALSE))</f>
        <v/>
      </c>
      <c r="G26" s="125"/>
    </row>
    <row r="27" spans="1:7">
      <c r="A27" s="141"/>
      <c r="B27" s="1"/>
      <c r="C27" s="75" t="s">
        <v>84</v>
      </c>
      <c r="D27" s="133">
        <f>SUM(D10:D26)</f>
        <v>0</v>
      </c>
      <c r="E27" s="105">
        <f>SUM(E10:E26)</f>
        <v>0</v>
      </c>
      <c r="F27" s="106">
        <f>SUM(F10:F26)</f>
        <v>0</v>
      </c>
      <c r="G27" s="125"/>
    </row>
    <row r="28" spans="1:7" ht="15.75" thickBot="1">
      <c r="A28" s="141"/>
      <c r="B28" s="152"/>
      <c r="C28" s="138"/>
      <c r="D28" s="138"/>
      <c r="E28" s="138"/>
      <c r="F28" s="138"/>
      <c r="G28" s="139"/>
    </row>
    <row r="29" ht="15.75" thickTop="1"/>
  </sheetData>
  <sheetProtection algorithmName="SHA-512" hashValue="V/U9T6tTD3R1sn7BcffCmBPcbkR5aB3jjrVDqlouTWcGPoDTf6nFF1o2cHBJkHiZG5fva5OrGQN4MOtnZlVtKw==" saltValue="kYHn+F58LAkk0nZAB+K3Hw==" spinCount="100000" sheet="1" selectLockedCells="1"/>
  <mergeCells count="2">
    <mergeCell ref="B3:G5"/>
    <mergeCell ref="C7:F7"/>
  </mergeCells>
  <dataValidations count="2">
    <dataValidation allowBlank="1" showInputMessage="1" showErrorMessage="1" prompt="Please enter area in hectares." sqref="D10:D26"/>
    <dataValidation type="list" allowBlank="1" showInputMessage="1" showErrorMessage="1" errorTitle="Landcover" error="Please select all pre exisitng landcover types." prompt="Select post-development land use types from the drop down list." sqref="C10:C26">
      <formula1>Lookups!$I$488:$I$495</formula1>
    </dataValidation>
  </dataValidations>
  <pageMargins left="0.7" right="0.7" top="0.75" bottom="0.75" header="0.3" footer="0.3"/>
  <pageSetup paperSize="9" orientation="portrait"/>
  <headerFooter scaleWithDoc="1" alignWithMargins="0" differentFirst="0" differentOddEven="0"/>
  <extLst/>
</worksheet>
</file>

<file path=xl/worksheets/sheet9.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2:L33"/>
  <sheetViews>
    <sheetView showRowColHeaders="0" view="normal" workbookViewId="0">
      <selection pane="topLeft" activeCell="A1" sqref="A1"/>
    </sheetView>
  </sheetViews>
  <sheetFormatPr defaultColWidth="9.140625" defaultRowHeight="15"/>
  <cols>
    <col min="1" max="1" width="9.140625" style="140" customWidth="1"/>
    <col min="2" max="2" width="4.84765625" style="140" customWidth="1"/>
    <col min="3" max="3" width="30.41796875" style="140" customWidth="1"/>
    <col min="4" max="4" width="26.84765625" style="140" customWidth="1"/>
    <col min="5" max="5" width="9.140625" style="140" customWidth="1"/>
    <col min="6" max="6" width="22.140625" style="140" customWidth="1"/>
    <col min="7" max="7" width="23.27734375" style="140" customWidth="1"/>
    <col min="8" max="10" width="9.140625" style="140" customWidth="1"/>
    <col min="11" max="11" width="7.140625" style="140" customWidth="1"/>
    <col min="12" max="16384" width="9.140625" style="140" customWidth="1"/>
  </cols>
  <sheetData>
    <row r="2" ht="15.75" thickBot="1"/>
    <row r="3" spans="2:8" ht="15.75" thickTop="1">
      <c r="B3" s="267" t="s">
        <v>202</v>
      </c>
      <c r="C3" s="268"/>
      <c r="D3" s="268"/>
      <c r="E3" s="268"/>
      <c r="F3" s="268"/>
      <c r="G3" s="268"/>
      <c r="H3" s="269"/>
    </row>
    <row r="4" spans="2:8">
      <c r="B4" s="258"/>
      <c r="C4" s="259"/>
      <c r="D4" s="259"/>
      <c r="E4" s="259"/>
      <c r="F4" s="259"/>
      <c r="G4" s="259"/>
      <c r="H4" s="260"/>
    </row>
    <row r="5" spans="2:12">
      <c r="B5" s="258"/>
      <c r="C5" s="259"/>
      <c r="D5" s="259"/>
      <c r="E5" s="259"/>
      <c r="F5" s="259"/>
      <c r="G5" s="259"/>
      <c r="H5" s="260"/>
      <c r="I5" s="143"/>
      <c r="J5" s="143"/>
      <c r="K5" s="143"/>
      <c r="L5" s="143"/>
    </row>
    <row r="6" spans="1:12" ht="17.25">
      <c r="A6" s="143"/>
      <c r="B6" s="135"/>
      <c r="C6" s="4"/>
      <c r="D6" s="4"/>
      <c r="E6" s="4"/>
      <c r="F6" s="4"/>
      <c r="G6" s="4"/>
      <c r="H6" s="125"/>
      <c r="L6" s="144"/>
    </row>
    <row r="7" spans="1:12" ht="18">
      <c r="A7" s="143"/>
      <c r="B7" s="135"/>
      <c r="C7" s="270" t="s">
        <v>201</v>
      </c>
      <c r="D7" s="270"/>
      <c r="E7" s="4"/>
      <c r="F7" s="4"/>
      <c r="G7" s="4"/>
      <c r="H7" s="125"/>
      <c r="L7" s="144"/>
    </row>
    <row r="8" spans="1:12" ht="18" customHeight="1" hidden="1">
      <c r="A8" s="143"/>
      <c r="B8" s="135"/>
      <c r="C8" s="4"/>
      <c r="D8" s="4"/>
      <c r="E8" s="4"/>
      <c r="F8" s="4"/>
      <c r="G8" s="4"/>
      <c r="H8" s="170"/>
      <c r="I8" s="173"/>
      <c r="J8" s="174"/>
      <c r="L8" s="146"/>
    </row>
    <row r="9" spans="1:12" ht="12" customHeight="1" hidden="1">
      <c r="A9" s="143"/>
      <c r="B9" s="135"/>
      <c r="C9" s="4"/>
      <c r="D9" s="4"/>
      <c r="E9" s="4"/>
      <c r="F9" s="4"/>
      <c r="G9" s="4"/>
      <c r="H9" s="171"/>
      <c r="I9" s="175"/>
      <c r="J9" s="176"/>
      <c r="L9" s="146"/>
    </row>
    <row r="10" spans="1:12" ht="18" hidden="1" thickBot="1">
      <c r="A10" s="143"/>
      <c r="B10" s="135"/>
      <c r="C10" s="72" t="s">
        <v>92</v>
      </c>
      <c r="D10" s="99" t="str">
        <f>'Stage 1'!D29</f>
        <v/>
      </c>
      <c r="E10" s="30"/>
      <c r="F10" s="4"/>
      <c r="G10" s="4"/>
      <c r="H10" s="171"/>
      <c r="I10" s="175"/>
      <c r="J10" s="176"/>
      <c r="L10" s="146"/>
    </row>
    <row r="11" spans="1:12" ht="21" customHeight="1" hidden="1" thickBot="1">
      <c r="A11" s="143"/>
      <c r="B11" s="135"/>
      <c r="C11" s="73" t="s">
        <v>91</v>
      </c>
      <c r="D11" s="100">
        <f>'Stage 3'!E27-'Stage 2'!E32</f>
        <v>0</v>
      </c>
      <c r="E11" s="25"/>
      <c r="F11" s="4"/>
      <c r="G11" s="4"/>
      <c r="H11" s="171"/>
      <c r="I11" s="177"/>
      <c r="J11" s="176"/>
      <c r="K11" s="144"/>
      <c r="L11" s="147"/>
    </row>
    <row r="12" spans="1:12" ht="18" hidden="1" thickBot="1">
      <c r="A12" s="143"/>
      <c r="B12" s="135"/>
      <c r="C12" s="73" t="s">
        <v>90</v>
      </c>
      <c r="D12" s="69" t="e">
        <f>D10+D11</f>
        <v>#VALUE!</v>
      </c>
      <c r="E12" s="26"/>
      <c r="F12" s="4"/>
      <c r="G12" s="4"/>
      <c r="H12" s="149"/>
      <c r="I12" s="178"/>
      <c r="J12" s="146"/>
      <c r="K12" s="146"/>
      <c r="L12" s="147"/>
    </row>
    <row r="13" spans="2:11" ht="29.25" customHeight="1" hidden="1">
      <c r="B13" s="135"/>
      <c r="C13" s="16" t="s">
        <v>89</v>
      </c>
      <c r="D13" s="101" t="e">
        <f>D12*1.2</f>
        <v>#VALUE!</v>
      </c>
      <c r="E13" s="27"/>
      <c r="F13" s="4"/>
      <c r="G13" s="4"/>
      <c r="H13" s="151"/>
      <c r="I13" s="179"/>
      <c r="J13" s="147"/>
      <c r="K13" s="147"/>
    </row>
    <row r="14" spans="2:8" ht="11.25" customHeight="1" hidden="1">
      <c r="B14" s="135"/>
      <c r="C14" s="30"/>
      <c r="D14" s="172"/>
      <c r="E14" s="30"/>
      <c r="F14" s="4"/>
      <c r="G14" s="4"/>
      <c r="H14" s="125"/>
    </row>
    <row r="15" spans="2:8" hidden="1">
      <c r="B15" s="135"/>
      <c r="C15" s="30"/>
      <c r="D15" s="172"/>
      <c r="E15" s="30"/>
      <c r="F15" s="4"/>
      <c r="G15" s="4"/>
      <c r="H15" s="125"/>
    </row>
    <row r="16" spans="2:8" ht="15.75" hidden="1" thickBot="1">
      <c r="B16" s="135"/>
      <c r="C16" s="72" t="s">
        <v>85</v>
      </c>
      <c r="D16" s="99" t="str">
        <f>'Stage 1'!D34</f>
        <v/>
      </c>
      <c r="E16" s="30"/>
      <c r="F16" s="4"/>
      <c r="G16" s="4"/>
      <c r="H16" s="125"/>
    </row>
    <row r="17" spans="2:8" ht="15.75" hidden="1" thickBot="1">
      <c r="B17" s="135"/>
      <c r="C17" s="73" t="s">
        <v>86</v>
      </c>
      <c r="D17" s="102">
        <f>'Stage 3'!F27-'Stage 2'!F32</f>
        <v>0</v>
      </c>
      <c r="E17" s="30"/>
      <c r="F17" s="4"/>
      <c r="G17" s="4"/>
      <c r="H17" s="125"/>
    </row>
    <row r="18" spans="2:8" ht="15.75" hidden="1" thickBot="1">
      <c r="B18" s="135"/>
      <c r="C18" s="71" t="s">
        <v>87</v>
      </c>
      <c r="D18" s="89" t="e">
        <f>D16+D17</f>
        <v>#VALUE!</v>
      </c>
      <c r="E18" s="19"/>
      <c r="F18" s="4"/>
      <c r="G18" s="4"/>
      <c r="H18" s="125"/>
    </row>
    <row r="19" spans="2:8" hidden="1">
      <c r="B19" s="135"/>
      <c r="C19" s="16" t="s">
        <v>88</v>
      </c>
      <c r="D19" s="101" t="e">
        <f>D18*1.2</f>
        <v>#VALUE!</v>
      </c>
      <c r="E19" s="19"/>
      <c r="F19" s="4"/>
      <c r="G19" s="4"/>
      <c r="H19" s="125"/>
    </row>
    <row r="20" spans="2:8" ht="17.25">
      <c r="B20" s="135"/>
      <c r="C20" s="10"/>
      <c r="D20" s="12"/>
      <c r="E20" s="13"/>
      <c r="F20" s="4"/>
      <c r="G20" s="4"/>
      <c r="H20" s="125"/>
    </row>
    <row r="21" spans="2:8" ht="24.75" customHeight="1">
      <c r="B21" s="135"/>
      <c r="C21" s="271" t="str">
        <f>IFERROR(IF(AND('Stage 1'!$D$9&lt;DATE(2025,1,1),OR((VLOOKUP('Stage 1'!$D$13,Lookups!$C$8:$G$89,2,FALSE))&gt;(VLOOKUP('Stage 1'!$D$13,Lookups!$C$8:$G$89,4,FALSE)),(VLOOKUP('Stage 1'!$D$13,Lookups!$C$8:$G$89,3,FALSE))&gt;(VLOOKUP('Stage 1'!$D$13,Lookups!$C$8:$G$89,5,FALSE)))),"Post-2025 Annual Nutrient Budget","Annual Nutrient Budget"),"")</f>
        <v/>
      </c>
      <c r="D21" s="271"/>
      <c r="E21" s="13"/>
      <c r="F21" s="271" t="str">
        <f>IFERROR(IF(AND('Stage 1'!$D$9&lt;DATE(2025,1,1),OR((VLOOKUP('Stage 1'!$D$13,Lookups!$C$8:$G$89,2,FALSE))&gt;(VLOOKUP('Stage 1'!$D$13,Lookups!$C$8:$G$89,4,FALSE)),(VLOOKUP('Stage 1'!$D$13,Lookups!$C$8:$G$89,3,FALSE))&gt;(VLOOKUP('Stage 1'!$D$13,Lookups!$C$8:$G$89,5,FALSE)))),"Pre-2025 Annual Nutrient Budget",""),"")</f>
        <v/>
      </c>
      <c r="G21" s="271"/>
      <c r="H21" s="125"/>
    </row>
    <row r="22" spans="2:8" customHeight="1">
      <c r="B22" s="135"/>
      <c r="C22" s="272" t="s">
        <v>139</v>
      </c>
      <c r="D22" s="274" t="e">
        <f>IF(ROUND(D13,2)&lt;0,0&amp;" kg TP/year",ROUND(D13,2)&amp;" kg TP/year")</f>
        <v>#VALUE!</v>
      </c>
      <c r="E22" s="4"/>
      <c r="F22" s="272" t="str">
        <f>IFERROR(IF(AND('Stage 1'!$D$9&lt;DATE(2025,1,1),OR((VLOOKUP('Stage 1'!$D$13,Lookups!$C$8:$G$89,2,FALSE))&gt;(VLOOKUP('Stage 1'!$D$13,Lookups!$C$8:$G$89,4,FALSE)),(VLOOKUP('Stage 1'!$D$13,Lookups!$C$8:$G$89,3,FALSE))&gt;(VLOOKUP('Stage 1'!$D$13,Lookups!$C$8:$G$89,5,FALSE)))),"The pre-2025 annual phosphorus load to mitigate is:",""),"")</f>
        <v/>
      </c>
      <c r="G22" s="273" t="str">
        <f>IFERROR(IF(AND('Stage 1'!$D$9&lt;DATE(2025,1,1),OR((VLOOKUP('Stage 1'!$D$13,Lookups!$C$8:$G$89,2,FALSE))&gt;(VLOOKUP('Stage 1'!$D$13,Lookups!$C$8:$G$89,4,FALSE)),(VLOOKUP('Stage 1'!$D$13,Lookups!$C$8:$G$89,3,FALSE))&gt;(VLOOKUP('Stage 1'!$D$13,Lookups!$C$8:$G$89,5,FALSE)))),IF(ROUND(('Stage 3'!E27-'Stage 2'!E32+'Stage 1'!H22)*1.2,2)&lt;0,0&amp;" kg TP/year",ROUND(('Stage 3'!E27-'Stage 2'!E32+'Stage 1'!H22)*1.2,2)&amp;" kg TP/year"),""),"")</f>
        <v/>
      </c>
      <c r="H22" s="125"/>
    </row>
    <row r="23" spans="2:8" customHeight="1">
      <c r="B23" s="135"/>
      <c r="C23" s="272"/>
      <c r="D23" s="274"/>
      <c r="E23" s="4"/>
      <c r="F23" s="272"/>
      <c r="G23" s="273"/>
      <c r="H23" s="125"/>
    </row>
    <row r="24" spans="2:8" customHeight="1">
      <c r="B24" s="135"/>
      <c r="C24" s="272"/>
      <c r="D24" s="274"/>
      <c r="E24" s="4"/>
      <c r="F24" s="272"/>
      <c r="G24" s="273"/>
      <c r="H24" s="125"/>
    </row>
    <row r="25" spans="2:8" customHeight="1">
      <c r="B25" s="135"/>
      <c r="C25" s="272"/>
      <c r="D25" s="274"/>
      <c r="E25" s="4"/>
      <c r="F25" s="272"/>
      <c r="G25" s="273"/>
      <c r="H25" s="125"/>
    </row>
    <row r="26" spans="2:8" customHeight="1">
      <c r="B26" s="135"/>
      <c r="C26" s="30"/>
      <c r="D26" s="103"/>
      <c r="E26" s="4"/>
      <c r="F26" s="4"/>
      <c r="G26" s="4"/>
      <c r="H26" s="125"/>
    </row>
    <row r="27" spans="2:8">
      <c r="B27" s="135"/>
      <c r="C27" s="30"/>
      <c r="D27" s="103"/>
      <c r="E27" s="4"/>
      <c r="F27" s="85"/>
      <c r="G27" s="4"/>
      <c r="H27" s="125"/>
    </row>
    <row r="28" spans="2:8" customHeight="1">
      <c r="B28" s="135"/>
      <c r="C28" s="272" t="s">
        <v>140</v>
      </c>
      <c r="D28" s="274" t="e">
        <f>IF(ROUND(D19,2)&lt;0,0&amp;" kg TN/year",ROUND(D19,2)&amp;" kg TN/year")</f>
        <v>#VALUE!</v>
      </c>
      <c r="E28" s="4"/>
      <c r="F28" s="85"/>
      <c r="G28" s="273" t="str">
        <f>IFERROR(IF(AND('Stage 1'!$D$9&lt;DATE(2025,1,1),OR((VLOOKUP('Stage 1'!$D$13,Lookups!$C$8:$G$89,2,FALSE))&gt;(VLOOKUP('Stage 1'!$D$13,Lookups!$C$8:$G$89,4,FALSE)),(VLOOKUP('Stage 1'!$D$13,Lookups!$C$8:$G$89,3,FALSE))&gt;(VLOOKUP('Stage 1'!$D$13,Lookups!$C$8:$G$89,5,FALSE)))),IF(ROUND(('Stage 3'!F27-'Stage 2'!F32+'Stage 1'!H23)*1.2,2)&lt;0,0&amp;" kg TN/year",ROUND(('Stage 3'!F27-'Stage 2'!F32+'Stage 1'!H23)*1.2,2)&amp;" kg TN/year"),""),"")</f>
        <v/>
      </c>
      <c r="H28" s="125"/>
    </row>
    <row r="29" spans="2:8" ht="15.75" customHeight="1">
      <c r="B29" s="135"/>
      <c r="C29" s="272"/>
      <c r="D29" s="274"/>
      <c r="E29" s="4"/>
      <c r="F29" s="272" t="str">
        <f>IFERROR(IF(AND('Stage 1'!$D$9&lt;DATE(2025,1,1),OR((VLOOKUP('Stage 1'!$D$13,Lookups!$C$8:$G$89,2,FALSE))&gt;(VLOOKUP('Stage 1'!$D$13,Lookups!$C$8:$G$89,4,FALSE)),(VLOOKUP('Stage 1'!$D$13,Lookups!$C$8:$G$89,3,FALSE))&gt;(VLOOKUP('Stage 1'!$D$13,Lookups!$C$8:$G$89,5,FALSE)))),"The pre-2025 annual nitrogen load to mitigate is:",""),"")</f>
        <v/>
      </c>
      <c r="G29" s="273"/>
      <c r="H29" s="125"/>
    </row>
    <row r="30" spans="2:8" customHeight="1">
      <c r="B30" s="135"/>
      <c r="C30" s="272"/>
      <c r="D30" s="274"/>
      <c r="E30" s="4"/>
      <c r="F30" s="272"/>
      <c r="G30" s="273"/>
      <c r="H30" s="125"/>
    </row>
    <row r="31" spans="2:8" ht="15.75" customHeight="1">
      <c r="B31" s="135"/>
      <c r="C31" s="272"/>
      <c r="D31" s="274"/>
      <c r="E31" s="4"/>
      <c r="F31" s="272"/>
      <c r="G31" s="273"/>
      <c r="H31" s="125"/>
    </row>
    <row r="32" spans="2:8" ht="15.75" thickBot="1">
      <c r="B32" s="152"/>
      <c r="C32" s="138"/>
      <c r="D32" s="138"/>
      <c r="E32" s="138"/>
      <c r="F32" s="138"/>
      <c r="G32" s="138"/>
      <c r="H32" s="139"/>
    </row>
    <row r="33" ht="15.75" thickTop="1"/>
  </sheetData>
  <sheetProtection algorithmName="SHA-512" hashValue="XzVw/mlKm3bikzEnxWYWKaR8va0TlHTpaf/JUt64bq/2VnXUjYjhL1wrcvKde/Qw5Be04kiSMJnWTy79WkgnfA==" saltValue="iwPukBELFp8VHP8V9qjj6A==" spinCount="100000" sheet="1" objects="1" selectLockedCells="1" selectUnlockedCells="1"/>
  <mergeCells count="12">
    <mergeCell ref="B3:H5"/>
    <mergeCell ref="C7:D7"/>
    <mergeCell ref="F21:G21"/>
    <mergeCell ref="F22:F25"/>
    <mergeCell ref="F29:F31"/>
    <mergeCell ref="G22:G25"/>
    <mergeCell ref="G28:G31"/>
    <mergeCell ref="C22:C25"/>
    <mergeCell ref="C28:C31"/>
    <mergeCell ref="D22:D25"/>
    <mergeCell ref="D28:D31"/>
    <mergeCell ref="C21:D21"/>
  </mergeCells>
  <conditionalFormatting sqref="G22:G25">
    <cfRule type="expression" dxfId="1" priority="2">
      <formula>($C$21="Post-2025 Annual Nutrient Budget")</formula>
    </cfRule>
  </conditionalFormatting>
  <conditionalFormatting sqref="G28:G31">
    <cfRule type="expression" dxfId="0" priority="1">
      <formula>($C$21="Post-2025 Annual Nutrient Budget")</formula>
    </cfRule>
  </conditionalFormatting>
  <dataValidations count="1">
    <dataValidation type="list" allowBlank="1" showInputMessage="1" showErrorMessage="1" sqref="J9:J11">
      <formula1>'[1]Stage 2 and 3 lookups'!#REF!</formula1>
    </dataValidation>
  </dataValidations>
  <pageMargins left="0.7" right="0.7" top="0.75" bottom="0.75" header="0.3" footer="0.3"/>
  <pageSetup paperSize="9" orientation="portrait"/>
  <headerFooter scaleWithDoc="1" alignWithMargins="0" differentFirst="0" differentOddEven="0"/>
  <extLst/>
</worksheet>
</file>

<file path=xl/worksheets/sheet10.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5:K33"/>
  <sheetViews>
    <sheetView topLeftCell="A10" view="normal" workbookViewId="0">
      <selection pane="topLeft" activeCell="C16" sqref="C16"/>
    </sheetView>
  </sheetViews>
  <sheetFormatPr defaultColWidth="9.140625" defaultRowHeight="15"/>
  <cols>
    <col min="1" max="1" width="9.140625" style="1" customWidth="1"/>
    <col min="2" max="2" width="27.84765625" style="1" customWidth="1"/>
    <col min="3" max="3" width="26.84765625" style="1" customWidth="1"/>
    <col min="4" max="4" width="9.140625" style="1" customWidth="1"/>
    <col min="5" max="5" width="15" style="1" customWidth="1"/>
    <col min="6" max="6" width="12.5703125" style="1" customWidth="1"/>
    <col min="7" max="9" width="9.140625" style="1" customWidth="1"/>
    <col min="10" max="10" width="7.140625" style="1" customWidth="1"/>
    <col min="11" max="16384" width="9.140625" style="1" customWidth="1"/>
  </cols>
  <sheetData>
    <row r="5" spans="2:11">
      <c r="B5" s="4"/>
      <c r="C5" s="4"/>
      <c r="D5" s="4"/>
      <c r="E5" s="4"/>
      <c r="F5" s="4"/>
      <c r="G5" s="4"/>
      <c r="H5" s="4"/>
      <c r="I5" s="4"/>
      <c r="J5" s="4"/>
      <c r="K5" s="4"/>
    </row>
    <row r="6" spans="1:11" ht="17.25">
      <c r="A6" s="4"/>
      <c r="K6" s="7"/>
    </row>
    <row r="7" spans="1:11" ht="18" customHeight="1">
      <c r="A7" s="4"/>
      <c r="F7" s="5"/>
      <c r="G7" s="6"/>
      <c r="H7" s="6"/>
      <c r="I7" s="5"/>
      <c r="K7" s="8"/>
    </row>
    <row r="8" spans="1:11" ht="12" customHeight="1">
      <c r="A8" s="4"/>
      <c r="F8" s="3"/>
      <c r="G8" s="3"/>
      <c r="H8" s="3"/>
      <c r="I8" s="10"/>
      <c r="K8" s="8"/>
    </row>
    <row r="9" spans="1:11" ht="18" thickBot="1">
      <c r="A9" s="4"/>
      <c r="B9" s="15" t="s">
        <v>92</v>
      </c>
      <c r="D9" s="23"/>
      <c r="E9" s="275" t="s">
        <v>131</v>
      </c>
      <c r="G9" s="3"/>
      <c r="H9" s="3"/>
      <c r="I9" s="10"/>
      <c r="K9" s="8"/>
    </row>
    <row r="10" spans="1:11" ht="21" customHeight="1" thickTop="1" thickBot="1">
      <c r="A10" s="4"/>
      <c r="B10" s="16" t="s">
        <v>91</v>
      </c>
      <c r="D10" s="25"/>
      <c r="E10" s="275"/>
      <c r="G10" s="3"/>
      <c r="H10" s="3" t="s">
        <v>132</v>
      </c>
      <c r="I10" s="10"/>
      <c r="J10" s="7"/>
      <c r="K10" s="9"/>
    </row>
    <row r="11" spans="1:11" ht="18.75" thickTop="1" thickBot="1">
      <c r="A11" s="4"/>
      <c r="B11" s="17" t="s">
        <v>90</v>
      </c>
      <c r="D11" s="26"/>
      <c r="E11" s="275"/>
      <c r="G11" s="8"/>
      <c r="H11" s="8" t="e">
        <f>IF(C33&lt;0,"Well done, you're in the clear…,""")</f>
        <v>#VALUE!</v>
      </c>
      <c r="I11" s="8"/>
      <c r="J11" s="8"/>
      <c r="K11" s="9"/>
    </row>
    <row r="12" spans="2:10" ht="29.25" customHeight="1" thickTop="1">
      <c r="B12" s="18" t="s">
        <v>89</v>
      </c>
      <c r="D12" s="27"/>
      <c r="E12" s="275"/>
      <c r="G12" s="9"/>
      <c r="H12" s="9" t="s">
        <v>133</v>
      </c>
      <c r="I12" s="9"/>
      <c r="J12" s="9"/>
    </row>
    <row r="13" spans="2:6" ht="11.25" customHeight="1">
      <c r="B13" s="23"/>
      <c r="C13" s="23"/>
      <c r="D13" s="23"/>
      <c r="E13" s="23"/>
      <c r="F13" s="58"/>
    </row>
    <row r="14" spans="2:6">
      <c r="B14" s="23"/>
      <c r="C14" s="23"/>
      <c r="D14" s="23"/>
      <c r="E14" s="23"/>
      <c r="F14" s="58"/>
    </row>
    <row r="15" spans="2:5" ht="15.75" thickBot="1">
      <c r="B15" s="15" t="s">
        <v>85</v>
      </c>
      <c r="C15" s="55" t="str">
        <f>'Stage 1'!D34</f>
        <v/>
      </c>
      <c r="D15" s="23"/>
      <c r="E15" s="275" t="s">
        <v>130</v>
      </c>
    </row>
    <row r="16" spans="2:5" ht="16.5" thickTop="1" thickBot="1">
      <c r="B16" s="16" t="s">
        <v>86</v>
      </c>
      <c r="C16" s="24">
        <f>'Stage 3'!F27-'Stage 2'!F32</f>
        <v>0</v>
      </c>
      <c r="D16" s="23"/>
      <c r="E16" s="275"/>
    </row>
    <row r="17" spans="2:7" ht="16.5" thickTop="1" thickBot="1">
      <c r="B17" s="17" t="s">
        <v>87</v>
      </c>
      <c r="C17" s="56" t="e">
        <f>C15+C16</f>
        <v>#VALUE!</v>
      </c>
      <c r="D17" s="19"/>
      <c r="E17" s="275"/>
      <c r="G17" s="4"/>
    </row>
    <row r="18" spans="2:7" ht="15.75" thickTop="1">
      <c r="B18" s="18" t="s">
        <v>88</v>
      </c>
      <c r="C18" s="57" t="e">
        <f>C17*1.2</f>
        <v>#VALUE!</v>
      </c>
      <c r="D18" s="19"/>
      <c r="E18" s="275"/>
      <c r="G18" s="4"/>
    </row>
    <row r="19" spans="2:7" ht="17.25">
      <c r="B19" s="10"/>
      <c r="C19" s="12"/>
      <c r="D19" s="13"/>
      <c r="G19" s="4"/>
    </row>
    <row r="20" spans="2:7" ht="17.25">
      <c r="B20" s="10"/>
      <c r="C20" s="12"/>
      <c r="D20" s="13"/>
      <c r="G20" s="4"/>
    </row>
    <row r="21" spans="2:7" ht="17.25">
      <c r="B21" s="10"/>
      <c r="C21" s="13"/>
      <c r="D21" s="13"/>
      <c r="G21" s="4"/>
    </row>
    <row r="22" spans="2:7" ht="17.25">
      <c r="B22" s="11"/>
      <c r="C22" s="14"/>
      <c r="D22" s="14"/>
      <c r="G22" s="4"/>
    </row>
    <row r="23" spans="7:7">
      <c r="G23" s="4"/>
    </row>
    <row r="24" spans="3:6" ht="15.75" thickBot="1">
      <c r="C24" s="55" t="str">
        <f>'Stage 1'!D29</f>
        <v/>
      </c>
      <c r="F24" s="274" t="e">
        <f>C33</f>
        <v>#VALUE!</v>
      </c>
    </row>
    <row r="25" spans="6:6" ht="15.75" thickTop="1">
      <c r="F25" s="274"/>
    </row>
    <row r="26" spans="6:6">
      <c r="F26" s="274"/>
    </row>
    <row r="27" spans="3:6" ht="15.75" thickBot="1">
      <c r="C27" s="24">
        <f>'Stage 3'!E27-'Stage 2'!E32</f>
        <v>0</v>
      </c>
      <c r="F27" s="274"/>
    </row>
    <row r="28" ht="15.75" thickTop="1"/>
    <row r="29" spans="6:6" ht="15.75" thickBot="1">
      <c r="F29" s="276" t="e">
        <f>C18</f>
        <v>#VALUE!</v>
      </c>
    </row>
    <row r="30" spans="3:6" ht="16.5" thickTop="1" thickBot="1">
      <c r="C30" s="56" t="e">
        <f>C24+C27</f>
        <v>#VALUE!</v>
      </c>
      <c r="F30" s="276"/>
    </row>
    <row r="31" spans="6:6" ht="15.75" thickTop="1">
      <c r="F31" s="276"/>
    </row>
    <row r="32" spans="6:6" ht="15.75" thickBot="1">
      <c r="F32" s="276"/>
    </row>
    <row r="33" spans="3:3" ht="15.75" thickTop="1">
      <c r="C33" s="57" t="e">
        <f>C30*1.2</f>
        <v>#VALUE!</v>
      </c>
    </row>
  </sheetData>
  <mergeCells count="4">
    <mergeCell ref="E9:E12"/>
    <mergeCell ref="F24:F27"/>
    <mergeCell ref="E15:E18"/>
    <mergeCell ref="F29:F32"/>
  </mergeCells>
  <dataValidations count="1">
    <dataValidation type="list" allowBlank="1" showInputMessage="1" showErrorMessage="1" sqref="I8:I10">
      <formula1>'[1]Stage 2 and 3 lookups'!#REF!</formula1>
    </dataValidation>
  </dataValidations>
  <pageMargins left="0.7" right="0.7" top="0.75" bottom="0.75" header="0.3" footer="0.3"/>
  <headerFooter scaleWithDoc="1" alignWithMargins="0" differentFirst="0" differentOddEven="0"/>
  <drawing r:id="rId1"/>
  <extLst/>
</worksheet>
</file>

<file path=xl/worksheets/sheet11.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P546"/>
  <sheetViews>
    <sheetView topLeftCell="G189" zoomScale="70" view="normal" workbookViewId="0">
      <selection pane="topLeft" activeCell="H236" sqref="H236"/>
    </sheetView>
  </sheetViews>
  <sheetFormatPr defaultColWidth="9.140625" defaultRowHeight="15"/>
  <cols>
    <col min="1" max="1" width="9.140625" style="140" customWidth="1"/>
    <col min="2" max="2" width="4.84765625" style="140" customWidth="1"/>
    <col min="3" max="3" width="44.41796875" style="140" bestFit="1" customWidth="1"/>
    <col min="4" max="4" width="31.27734375" style="140" bestFit="1" customWidth="1"/>
    <col min="5" max="5" width="34" style="140" customWidth="1"/>
    <col min="6" max="6" width="31.5703125" style="140" customWidth="1"/>
    <col min="7" max="7" width="41.84765625" style="140" customWidth="1"/>
    <col min="8" max="8" width="51.27734375" style="140" customWidth="1"/>
    <col min="9" max="9" width="46.5703125" style="140" customWidth="1"/>
    <col min="10" max="10" width="39.84765625" style="140" bestFit="1" customWidth="1"/>
    <col min="11" max="11" width="36.84765625" style="140" customWidth="1"/>
    <col min="12" max="12" width="38.140625" style="140" bestFit="1" customWidth="1"/>
    <col min="13" max="15" width="28" style="140" customWidth="1"/>
    <col min="16" max="16" width="9" style="140" customWidth="1"/>
    <col min="17" max="16384" width="9.140625" style="140" customWidth="1"/>
  </cols>
  <sheetData>
    <row r="1" ht="35.25" customHeight="1" thickBot="1"/>
    <row r="2" spans="2:16" ht="15.75" thickTop="1">
      <c r="B2" s="267" t="s">
        <v>203</v>
      </c>
      <c r="C2" s="268"/>
      <c r="D2" s="268"/>
      <c r="E2" s="268"/>
      <c r="F2" s="268"/>
      <c r="G2" s="268"/>
      <c r="H2" s="268"/>
      <c r="I2" s="268"/>
      <c r="J2" s="268"/>
      <c r="K2" s="268"/>
      <c r="L2" s="268"/>
      <c r="M2" s="268"/>
      <c r="N2" s="268"/>
      <c r="O2" s="268"/>
      <c r="P2" s="269"/>
    </row>
    <row r="3" spans="2:16">
      <c r="B3" s="258"/>
      <c r="C3" s="259"/>
      <c r="D3" s="259"/>
      <c r="E3" s="259"/>
      <c r="F3" s="259"/>
      <c r="G3" s="259"/>
      <c r="H3" s="259"/>
      <c r="I3" s="259"/>
      <c r="J3" s="259"/>
      <c r="K3" s="259"/>
      <c r="L3" s="259"/>
      <c r="M3" s="259"/>
      <c r="N3" s="259"/>
      <c r="O3" s="259"/>
      <c r="P3" s="260"/>
    </row>
    <row r="4" spans="2:16">
      <c r="B4" s="258"/>
      <c r="C4" s="259"/>
      <c r="D4" s="259"/>
      <c r="E4" s="259"/>
      <c r="F4" s="259"/>
      <c r="G4" s="259"/>
      <c r="H4" s="259"/>
      <c r="I4" s="259"/>
      <c r="J4" s="259"/>
      <c r="K4" s="259"/>
      <c r="L4" s="259"/>
      <c r="M4" s="259"/>
      <c r="N4" s="259"/>
      <c r="O4" s="259"/>
      <c r="P4" s="260"/>
    </row>
    <row r="5" spans="2:16">
      <c r="B5" s="135"/>
      <c r="C5" s="30"/>
      <c r="D5" s="30"/>
      <c r="E5" s="30"/>
      <c r="F5" s="30"/>
      <c r="G5" s="30"/>
      <c r="H5" s="30"/>
      <c r="I5" s="4"/>
      <c r="J5" s="30"/>
      <c r="K5" s="30"/>
      <c r="L5" s="30"/>
      <c r="M5" s="30"/>
      <c r="N5" s="30"/>
      <c r="O5" s="30"/>
      <c r="P5" s="137"/>
    </row>
    <row r="6" spans="2:16">
      <c r="B6" s="135"/>
      <c r="C6" s="30" t="s">
        <v>111</v>
      </c>
      <c r="D6" s="4"/>
      <c r="E6" s="30"/>
      <c r="F6" s="30"/>
      <c r="G6" s="30"/>
      <c r="H6" s="30"/>
      <c r="I6" s="4"/>
      <c r="J6" s="30"/>
      <c r="K6" s="30"/>
      <c r="L6" s="30"/>
      <c r="M6" s="30"/>
      <c r="N6" s="30"/>
      <c r="O6" s="30"/>
      <c r="P6" s="137"/>
    </row>
    <row r="7" spans="2:16" ht="30.75" thickBot="1">
      <c r="B7" s="135"/>
      <c r="C7" s="35" t="s">
        <v>100</v>
      </c>
      <c r="D7" s="48" t="s">
        <v>191</v>
      </c>
      <c r="E7" s="48" t="s">
        <v>242</v>
      </c>
      <c r="F7" s="48" t="s">
        <v>190</v>
      </c>
      <c r="G7" s="134" t="s">
        <v>243</v>
      </c>
      <c r="H7" s="28"/>
      <c r="I7" s="187"/>
      <c r="J7" s="28"/>
      <c r="K7" s="28"/>
      <c r="L7" s="28"/>
      <c r="M7" s="28"/>
      <c r="N7" s="28"/>
      <c r="O7" s="28"/>
      <c r="P7" s="137"/>
    </row>
    <row r="8" spans="2:16" ht="15.75" thickTop="1">
      <c r="B8" s="135"/>
      <c r="C8" s="188" t="s">
        <v>240</v>
      </c>
      <c r="D8" s="46">
        <v>2</v>
      </c>
      <c r="E8" s="46">
        <v>27</v>
      </c>
      <c r="F8" s="46">
        <v>2</v>
      </c>
      <c r="G8" s="39">
        <v>27</v>
      </c>
      <c r="H8" s="28"/>
      <c r="I8" s="187"/>
      <c r="J8" s="28"/>
      <c r="K8" s="28"/>
      <c r="L8" s="28"/>
      <c r="M8" s="28"/>
      <c r="N8" s="28"/>
      <c r="O8" s="28"/>
      <c r="P8" s="137"/>
    </row>
    <row r="9" spans="2:16">
      <c r="B9" s="135"/>
      <c r="C9" s="188" t="s">
        <v>307</v>
      </c>
      <c r="D9" s="46">
        <v>8</v>
      </c>
      <c r="E9" s="46">
        <v>27</v>
      </c>
      <c r="F9" s="46">
        <v>8</v>
      </c>
      <c r="G9" s="39">
        <v>27</v>
      </c>
      <c r="H9" s="28"/>
      <c r="I9" s="187"/>
      <c r="J9" s="28"/>
      <c r="K9" s="28"/>
      <c r="L9" s="28"/>
      <c r="M9" s="28"/>
      <c r="N9" s="28"/>
      <c r="O9" s="28"/>
      <c r="P9" s="137"/>
    </row>
    <row r="10" spans="2:16">
      <c r="B10" s="135"/>
      <c r="C10" s="188" t="s">
        <v>245</v>
      </c>
      <c r="D10" s="46">
        <v>8</v>
      </c>
      <c r="E10" s="46">
        <v>27</v>
      </c>
      <c r="F10" s="46">
        <v>8</v>
      </c>
      <c r="G10" s="39">
        <v>27</v>
      </c>
      <c r="H10" s="28"/>
      <c r="I10" s="187"/>
      <c r="J10" s="28"/>
      <c r="K10" s="28"/>
      <c r="L10" s="28"/>
      <c r="M10" s="28"/>
      <c r="N10" s="28"/>
      <c r="O10" s="28"/>
      <c r="P10" s="137"/>
    </row>
    <row r="11" spans="2:16">
      <c r="B11" s="135"/>
      <c r="C11" s="188" t="s">
        <v>236</v>
      </c>
      <c r="D11" s="46">
        <v>1</v>
      </c>
      <c r="E11" s="46">
        <v>27</v>
      </c>
      <c r="F11" s="46">
        <v>0.6</v>
      </c>
      <c r="G11" s="39">
        <v>27</v>
      </c>
      <c r="H11" s="28"/>
      <c r="I11" s="187"/>
      <c r="J11" s="28"/>
      <c r="K11" s="28"/>
      <c r="L11" s="28"/>
      <c r="M11" s="28"/>
      <c r="N11" s="28"/>
      <c r="O11" s="28"/>
      <c r="P11" s="137"/>
    </row>
    <row r="12" spans="2:16">
      <c r="B12" s="135"/>
      <c r="C12" s="188" t="s">
        <v>228</v>
      </c>
      <c r="D12" s="46">
        <v>8</v>
      </c>
      <c r="E12" s="46">
        <v>27</v>
      </c>
      <c r="F12" s="46">
        <v>8</v>
      </c>
      <c r="G12" s="39">
        <v>27</v>
      </c>
      <c r="H12" s="28"/>
      <c r="I12" s="187"/>
      <c r="J12" s="28"/>
      <c r="K12" s="28"/>
      <c r="L12" s="28"/>
      <c r="M12" s="28"/>
      <c r="N12" s="28"/>
      <c r="O12" s="28"/>
      <c r="P12" s="137"/>
    </row>
    <row r="13" spans="2:16">
      <c r="B13" s="135"/>
      <c r="C13" s="188" t="s">
        <v>246</v>
      </c>
      <c r="D13" s="46">
        <v>8</v>
      </c>
      <c r="E13" s="46">
        <v>27</v>
      </c>
      <c r="F13" s="46">
        <v>8</v>
      </c>
      <c r="G13" s="39">
        <v>27</v>
      </c>
      <c r="H13" s="28"/>
      <c r="I13" s="187"/>
      <c r="J13" s="28"/>
      <c r="K13" s="28"/>
      <c r="L13" s="28"/>
      <c r="M13" s="28"/>
      <c r="N13" s="28"/>
      <c r="O13" s="28"/>
      <c r="P13" s="137"/>
    </row>
    <row r="14" spans="2:16">
      <c r="B14" s="135"/>
      <c r="C14" s="188" t="s">
        <v>219</v>
      </c>
      <c r="D14" s="46">
        <v>8</v>
      </c>
      <c r="E14" s="46">
        <v>27</v>
      </c>
      <c r="F14" s="46">
        <v>8</v>
      </c>
      <c r="G14" s="39">
        <v>27</v>
      </c>
      <c r="H14" s="28"/>
      <c r="I14" s="187"/>
      <c r="J14" s="28"/>
      <c r="K14" s="28"/>
      <c r="L14" s="28"/>
      <c r="M14" s="28"/>
      <c r="N14" s="28"/>
      <c r="O14" s="28"/>
      <c r="P14" s="137"/>
    </row>
    <row r="15" spans="2:16">
      <c r="B15" s="135"/>
      <c r="C15" s="188" t="s">
        <v>237</v>
      </c>
      <c r="D15" s="46">
        <v>1</v>
      </c>
      <c r="E15" s="46">
        <v>27</v>
      </c>
      <c r="F15" s="46">
        <v>1</v>
      </c>
      <c r="G15" s="39">
        <v>27</v>
      </c>
      <c r="H15" s="28"/>
      <c r="I15" s="187"/>
      <c r="J15" s="28"/>
      <c r="K15" s="28"/>
      <c r="L15" s="28"/>
      <c r="M15" s="28"/>
      <c r="N15" s="28"/>
      <c r="O15" s="28"/>
      <c r="P15" s="137"/>
    </row>
    <row r="16" spans="2:16">
      <c r="B16" s="135"/>
      <c r="C16" s="188" t="s">
        <v>247</v>
      </c>
      <c r="D16" s="46">
        <v>8</v>
      </c>
      <c r="E16" s="46">
        <v>27</v>
      </c>
      <c r="F16" s="46">
        <v>8</v>
      </c>
      <c r="G16" s="39">
        <v>27</v>
      </c>
      <c r="H16" s="28"/>
      <c r="I16" s="187"/>
      <c r="J16" s="28"/>
      <c r="K16" s="28"/>
      <c r="L16" s="28"/>
      <c r="M16" s="28"/>
      <c r="N16" s="28"/>
      <c r="O16" s="28"/>
      <c r="P16" s="137"/>
    </row>
    <row r="17" spans="2:16">
      <c r="B17" s="135"/>
      <c r="C17" s="188" t="s">
        <v>248</v>
      </c>
      <c r="D17" s="46">
        <v>8</v>
      </c>
      <c r="E17" s="46">
        <v>27</v>
      </c>
      <c r="F17" s="46">
        <v>8</v>
      </c>
      <c r="G17" s="39">
        <v>27</v>
      </c>
      <c r="H17" s="28"/>
      <c r="I17" s="187"/>
      <c r="J17" s="28"/>
      <c r="K17" s="28"/>
      <c r="L17" s="28"/>
      <c r="M17" s="28"/>
      <c r="N17" s="28"/>
      <c r="O17" s="28"/>
      <c r="P17" s="137"/>
    </row>
    <row r="18" spans="2:16">
      <c r="B18" s="135"/>
      <c r="C18" s="188" t="s">
        <v>305</v>
      </c>
      <c r="D18" s="46">
        <v>8</v>
      </c>
      <c r="E18" s="46">
        <v>27</v>
      </c>
      <c r="F18" s="46">
        <v>8</v>
      </c>
      <c r="G18" s="39">
        <v>27</v>
      </c>
      <c r="H18" s="28"/>
      <c r="I18" s="187"/>
      <c r="J18" s="28"/>
      <c r="K18" s="28"/>
      <c r="L18" s="28"/>
      <c r="M18" s="28"/>
      <c r="N18" s="28"/>
      <c r="O18" s="28"/>
      <c r="P18" s="137"/>
    </row>
    <row r="19" spans="2:16">
      <c r="B19" s="135"/>
      <c r="C19" s="188" t="s">
        <v>238</v>
      </c>
      <c r="D19" s="46">
        <v>1</v>
      </c>
      <c r="E19" s="46">
        <v>27</v>
      </c>
      <c r="F19" s="46">
        <v>1</v>
      </c>
      <c r="G19" s="39">
        <v>27</v>
      </c>
      <c r="H19" s="28"/>
      <c r="I19" s="187"/>
      <c r="J19" s="28"/>
      <c r="K19" s="28"/>
      <c r="L19" s="28"/>
      <c r="M19" s="28"/>
      <c r="N19" s="28"/>
      <c r="O19" s="28"/>
      <c r="P19" s="137"/>
    </row>
    <row r="20" spans="2:16">
      <c r="B20" s="135"/>
      <c r="C20" s="188" t="s">
        <v>249</v>
      </c>
      <c r="D20" s="46">
        <v>8</v>
      </c>
      <c r="E20" s="46">
        <v>27</v>
      </c>
      <c r="F20" s="46">
        <v>8</v>
      </c>
      <c r="G20" s="39">
        <v>27</v>
      </c>
      <c r="H20" s="28"/>
      <c r="I20" s="187"/>
      <c r="J20" s="28"/>
      <c r="K20" s="28"/>
      <c r="L20" s="28"/>
      <c r="M20" s="28"/>
      <c r="N20" s="28"/>
      <c r="O20" s="28"/>
      <c r="P20" s="137"/>
    </row>
    <row r="21" spans="2:16">
      <c r="B21" s="135"/>
      <c r="C21" s="188" t="s">
        <v>220</v>
      </c>
      <c r="D21" s="46">
        <v>2.5</v>
      </c>
      <c r="E21" s="46">
        <v>27</v>
      </c>
      <c r="F21" s="46">
        <v>2.5</v>
      </c>
      <c r="G21" s="39">
        <v>27</v>
      </c>
      <c r="H21" s="28"/>
      <c r="I21" s="187"/>
      <c r="J21" s="28"/>
      <c r="K21" s="28"/>
      <c r="L21" s="28"/>
      <c r="M21" s="28"/>
      <c r="N21" s="28"/>
      <c r="O21" s="28"/>
      <c r="P21" s="137"/>
    </row>
    <row r="22" spans="2:16">
      <c r="B22" s="135"/>
      <c r="C22" s="188" t="s">
        <v>229</v>
      </c>
      <c r="D22" s="46">
        <v>8</v>
      </c>
      <c r="E22" s="46">
        <v>27</v>
      </c>
      <c r="F22" s="46">
        <v>8</v>
      </c>
      <c r="G22" s="39">
        <v>27</v>
      </c>
      <c r="H22" s="28"/>
      <c r="I22" s="187"/>
      <c r="J22" s="28"/>
      <c r="K22" s="28"/>
      <c r="L22" s="28"/>
      <c r="M22" s="28"/>
      <c r="N22" s="28"/>
      <c r="O22" s="28"/>
      <c r="P22" s="137"/>
    </row>
    <row r="23" spans="2:16">
      <c r="B23" s="135"/>
      <c r="C23" s="188" t="s">
        <v>250</v>
      </c>
      <c r="D23" s="46">
        <v>8</v>
      </c>
      <c r="E23" s="46">
        <v>27</v>
      </c>
      <c r="F23" s="46">
        <v>8</v>
      </c>
      <c r="G23" s="39">
        <v>27</v>
      </c>
      <c r="H23" s="28"/>
      <c r="I23" s="187"/>
      <c r="J23" s="28"/>
      <c r="K23" s="28"/>
      <c r="L23" s="28"/>
      <c r="M23" s="28"/>
      <c r="N23" s="28"/>
      <c r="O23" s="28"/>
      <c r="P23" s="137"/>
    </row>
    <row r="24" spans="2:16">
      <c r="B24" s="135"/>
      <c r="C24" s="188" t="s">
        <v>251</v>
      </c>
      <c r="D24" s="46">
        <v>1</v>
      </c>
      <c r="E24" s="46">
        <v>27</v>
      </c>
      <c r="F24" s="46">
        <v>1</v>
      </c>
      <c r="G24" s="39">
        <v>27</v>
      </c>
      <c r="H24" s="28"/>
      <c r="I24" s="187"/>
      <c r="J24" s="28"/>
      <c r="K24" s="28"/>
      <c r="L24" s="28"/>
      <c r="M24" s="28"/>
      <c r="N24" s="28"/>
      <c r="O24" s="28"/>
      <c r="P24" s="137"/>
    </row>
    <row r="25" spans="2:16">
      <c r="B25" s="135"/>
      <c r="C25" s="188" t="s">
        <v>252</v>
      </c>
      <c r="D25" s="46">
        <v>8</v>
      </c>
      <c r="E25" s="46">
        <v>27</v>
      </c>
      <c r="F25" s="46">
        <v>8</v>
      </c>
      <c r="G25" s="39">
        <v>27</v>
      </c>
      <c r="H25" s="28"/>
      <c r="I25" s="187"/>
      <c r="J25" s="28"/>
      <c r="K25" s="28"/>
      <c r="L25" s="28"/>
      <c r="M25" s="28"/>
      <c r="N25" s="28"/>
      <c r="O25" s="28"/>
      <c r="P25" s="137"/>
    </row>
    <row r="26" spans="2:16">
      <c r="B26" s="135"/>
      <c r="C26" s="188" t="s">
        <v>253</v>
      </c>
      <c r="D26" s="46">
        <v>8</v>
      </c>
      <c r="E26" s="46">
        <v>27</v>
      </c>
      <c r="F26" s="46">
        <v>8</v>
      </c>
      <c r="G26" s="39">
        <v>27</v>
      </c>
      <c r="H26" s="28"/>
      <c r="I26" s="187"/>
      <c r="J26" s="28"/>
      <c r="K26" s="28"/>
      <c r="L26" s="28"/>
      <c r="M26" s="28"/>
      <c r="N26" s="28"/>
      <c r="O26" s="28"/>
      <c r="P26" s="137"/>
    </row>
    <row r="27" spans="2:16">
      <c r="B27" s="135"/>
      <c r="C27" s="188" t="s">
        <v>254</v>
      </c>
      <c r="D27" s="46">
        <v>8</v>
      </c>
      <c r="E27" s="46">
        <v>27</v>
      </c>
      <c r="F27" s="46">
        <v>8</v>
      </c>
      <c r="G27" s="39">
        <v>27</v>
      </c>
      <c r="H27" s="28"/>
      <c r="I27" s="187"/>
      <c r="J27" s="28"/>
      <c r="K27" s="28"/>
      <c r="L27" s="28"/>
      <c r="M27" s="28"/>
      <c r="N27" s="28"/>
      <c r="O27" s="28"/>
      <c r="P27" s="137"/>
    </row>
    <row r="28" spans="2:16">
      <c r="B28" s="135"/>
      <c r="C28" s="188" t="s">
        <v>255</v>
      </c>
      <c r="D28" s="46">
        <v>1</v>
      </c>
      <c r="E28" s="46">
        <v>27</v>
      </c>
      <c r="F28" s="46">
        <v>1</v>
      </c>
      <c r="G28" s="39">
        <v>27</v>
      </c>
      <c r="H28" s="28"/>
      <c r="I28" s="187"/>
      <c r="J28" s="28"/>
      <c r="K28" s="28"/>
      <c r="L28" s="28"/>
      <c r="M28" s="28"/>
      <c r="N28" s="28"/>
      <c r="O28" s="28"/>
      <c r="P28" s="137"/>
    </row>
    <row r="29" spans="2:16">
      <c r="B29" s="135"/>
      <c r="C29" s="188" t="s">
        <v>256</v>
      </c>
      <c r="D29" s="46">
        <v>8</v>
      </c>
      <c r="E29" s="46">
        <v>27</v>
      </c>
      <c r="F29" s="46">
        <v>8</v>
      </c>
      <c r="G29" s="39">
        <v>27</v>
      </c>
      <c r="H29" s="28"/>
      <c r="I29" s="187"/>
      <c r="J29" s="28"/>
      <c r="K29" s="28"/>
      <c r="L29" s="28"/>
      <c r="M29" s="28"/>
      <c r="N29" s="28"/>
      <c r="O29" s="28"/>
      <c r="P29" s="137"/>
    </row>
    <row r="30" spans="2:16">
      <c r="B30" s="135"/>
      <c r="C30" s="188" t="s">
        <v>257</v>
      </c>
      <c r="D30" s="46">
        <v>8</v>
      </c>
      <c r="E30" s="46">
        <v>27</v>
      </c>
      <c r="F30" s="46">
        <v>8</v>
      </c>
      <c r="G30" s="39">
        <v>27</v>
      </c>
      <c r="H30" s="28"/>
      <c r="I30" s="187"/>
      <c r="J30" s="28"/>
      <c r="K30" s="28"/>
      <c r="L30" s="28"/>
      <c r="M30" s="28"/>
      <c r="N30" s="28"/>
      <c r="O30" s="28"/>
      <c r="P30" s="137"/>
    </row>
    <row r="31" spans="2:16">
      <c r="B31" s="135"/>
      <c r="C31" s="188" t="s">
        <v>258</v>
      </c>
      <c r="D31" s="46">
        <v>1</v>
      </c>
      <c r="E31" s="46">
        <v>27</v>
      </c>
      <c r="F31" s="46">
        <v>1</v>
      </c>
      <c r="G31" s="39">
        <v>27</v>
      </c>
      <c r="H31" s="28"/>
      <c r="I31" s="187"/>
      <c r="J31" s="28"/>
      <c r="K31" s="28"/>
      <c r="L31" s="28"/>
      <c r="M31" s="28"/>
      <c r="N31" s="28"/>
      <c r="O31" s="28"/>
      <c r="P31" s="137"/>
    </row>
    <row r="32" spans="2:16">
      <c r="B32" s="135"/>
      <c r="C32" s="188" t="s">
        <v>259</v>
      </c>
      <c r="D32" s="46">
        <v>8</v>
      </c>
      <c r="E32" s="46">
        <v>27</v>
      </c>
      <c r="F32" s="46">
        <v>8</v>
      </c>
      <c r="G32" s="39">
        <v>27</v>
      </c>
      <c r="H32" s="28"/>
      <c r="I32" s="187"/>
      <c r="J32" s="28"/>
      <c r="K32" s="28"/>
      <c r="L32" s="28"/>
      <c r="M32" s="28"/>
      <c r="N32" s="28"/>
      <c r="O32" s="28"/>
      <c r="P32" s="137"/>
    </row>
    <row r="33" spans="2:16">
      <c r="B33" s="135"/>
      <c r="C33" s="188" t="s">
        <v>260</v>
      </c>
      <c r="D33" s="46">
        <v>8</v>
      </c>
      <c r="E33" s="46">
        <v>27</v>
      </c>
      <c r="F33" s="46">
        <v>8</v>
      </c>
      <c r="G33" s="39">
        <v>27</v>
      </c>
      <c r="H33" s="28"/>
      <c r="I33" s="187"/>
      <c r="J33" s="28"/>
      <c r="K33" s="28"/>
      <c r="L33" s="28"/>
      <c r="M33" s="28"/>
      <c r="N33" s="28"/>
      <c r="O33" s="28"/>
      <c r="P33" s="137"/>
    </row>
    <row r="34" spans="2:16">
      <c r="B34" s="135"/>
      <c r="C34" s="188" t="s">
        <v>261</v>
      </c>
      <c r="D34" s="46">
        <v>8</v>
      </c>
      <c r="E34" s="46">
        <v>27</v>
      </c>
      <c r="F34" s="46">
        <v>8</v>
      </c>
      <c r="G34" s="39">
        <v>27</v>
      </c>
      <c r="H34" s="28"/>
      <c r="I34" s="187"/>
      <c r="J34" s="28"/>
      <c r="K34" s="28"/>
      <c r="L34" s="28"/>
      <c r="M34" s="28"/>
      <c r="N34" s="28"/>
      <c r="O34" s="28"/>
      <c r="P34" s="137"/>
    </row>
    <row r="35" spans="2:16">
      <c r="B35" s="135"/>
      <c r="C35" s="188" t="s">
        <v>221</v>
      </c>
      <c r="D35" s="46">
        <v>1</v>
      </c>
      <c r="E35" s="46">
        <v>27</v>
      </c>
      <c r="F35" s="46">
        <v>1</v>
      </c>
      <c r="G35" s="39">
        <v>27</v>
      </c>
      <c r="H35" s="28"/>
      <c r="I35" s="187"/>
      <c r="J35" s="28"/>
      <c r="K35" s="28"/>
      <c r="L35" s="28"/>
      <c r="M35" s="28"/>
      <c r="N35" s="28"/>
      <c r="O35" s="28"/>
      <c r="P35" s="137"/>
    </row>
    <row r="36" spans="2:16">
      <c r="B36" s="135"/>
      <c r="C36" s="188" t="s">
        <v>262</v>
      </c>
      <c r="D36" s="46">
        <v>8</v>
      </c>
      <c r="E36" s="46">
        <v>27</v>
      </c>
      <c r="F36" s="46">
        <v>8</v>
      </c>
      <c r="G36" s="39">
        <v>27</v>
      </c>
      <c r="H36" s="28"/>
      <c r="I36" s="187"/>
      <c r="J36" s="28"/>
      <c r="K36" s="28"/>
      <c r="L36" s="28"/>
      <c r="M36" s="28"/>
      <c r="N36" s="28"/>
      <c r="O36" s="28"/>
      <c r="P36" s="137"/>
    </row>
    <row r="37" spans="2:16">
      <c r="B37" s="135"/>
      <c r="C37" s="188" t="s">
        <v>263</v>
      </c>
      <c r="D37" s="46">
        <v>8</v>
      </c>
      <c r="E37" s="46">
        <v>27</v>
      </c>
      <c r="F37" s="46">
        <v>8</v>
      </c>
      <c r="G37" s="39">
        <v>27</v>
      </c>
      <c r="H37" s="28"/>
      <c r="I37" s="187"/>
      <c r="J37" s="28"/>
      <c r="K37" s="28"/>
      <c r="L37" s="28"/>
      <c r="M37" s="28"/>
      <c r="N37" s="28"/>
      <c r="O37" s="28"/>
      <c r="P37" s="137"/>
    </row>
    <row r="38" spans="2:16">
      <c r="B38" s="135"/>
      <c r="C38" s="188" t="s">
        <v>264</v>
      </c>
      <c r="D38" s="46">
        <v>8</v>
      </c>
      <c r="E38" s="46">
        <v>27</v>
      </c>
      <c r="F38" s="46">
        <v>8</v>
      </c>
      <c r="G38" s="39">
        <v>27</v>
      </c>
      <c r="H38" s="28"/>
      <c r="I38" s="187"/>
      <c r="J38" s="28"/>
      <c r="K38" s="28"/>
      <c r="L38" s="28"/>
      <c r="M38" s="28"/>
      <c r="N38" s="28"/>
      <c r="O38" s="28"/>
      <c r="P38" s="137"/>
    </row>
    <row r="39" spans="2:16">
      <c r="B39" s="135"/>
      <c r="C39" s="188" t="s">
        <v>265</v>
      </c>
      <c r="D39" s="46">
        <v>8</v>
      </c>
      <c r="E39" s="46">
        <v>27</v>
      </c>
      <c r="F39" s="46">
        <v>8</v>
      </c>
      <c r="G39" s="39">
        <v>27</v>
      </c>
      <c r="H39" s="28"/>
      <c r="I39" s="187"/>
      <c r="J39" s="28"/>
      <c r="K39" s="28"/>
      <c r="L39" s="28"/>
      <c r="M39" s="28"/>
      <c r="N39" s="28"/>
      <c r="O39" s="28"/>
      <c r="P39" s="137"/>
    </row>
    <row r="40" spans="2:16">
      <c r="B40" s="135"/>
      <c r="C40" s="188" t="s">
        <v>266</v>
      </c>
      <c r="D40" s="46">
        <v>8</v>
      </c>
      <c r="E40" s="46">
        <v>27</v>
      </c>
      <c r="F40" s="46">
        <v>8</v>
      </c>
      <c r="G40" s="39">
        <v>27</v>
      </c>
      <c r="H40" s="28"/>
      <c r="I40" s="187"/>
      <c r="J40" s="28"/>
      <c r="K40" s="28"/>
      <c r="L40" s="28"/>
      <c r="M40" s="28"/>
      <c r="N40" s="28"/>
      <c r="O40" s="28"/>
      <c r="P40" s="137"/>
    </row>
    <row r="41" spans="2:16">
      <c r="B41" s="135"/>
      <c r="C41" s="188" t="s">
        <v>267</v>
      </c>
      <c r="D41" s="46">
        <v>8</v>
      </c>
      <c r="E41" s="46">
        <v>27</v>
      </c>
      <c r="F41" s="46">
        <v>8</v>
      </c>
      <c r="G41" s="39">
        <v>27</v>
      </c>
      <c r="H41" s="28"/>
      <c r="I41" s="187"/>
      <c r="J41" s="28"/>
      <c r="K41" s="28"/>
      <c r="L41" s="28"/>
      <c r="M41" s="28"/>
      <c r="N41" s="28"/>
      <c r="O41" s="28"/>
      <c r="P41" s="137"/>
    </row>
    <row r="42" spans="2:16">
      <c r="B42" s="135"/>
      <c r="C42" s="188" t="s">
        <v>268</v>
      </c>
      <c r="D42" s="46">
        <v>8</v>
      </c>
      <c r="E42" s="46">
        <v>27</v>
      </c>
      <c r="F42" s="46">
        <v>8</v>
      </c>
      <c r="G42" s="39">
        <v>27</v>
      </c>
      <c r="H42" s="28"/>
      <c r="I42" s="187"/>
      <c r="J42" s="28"/>
      <c r="K42" s="28"/>
      <c r="L42" s="28"/>
      <c r="M42" s="28"/>
      <c r="N42" s="28"/>
      <c r="O42" s="28"/>
      <c r="P42" s="137"/>
    </row>
    <row r="43" spans="2:16">
      <c r="B43" s="135"/>
      <c r="C43" s="188" t="s">
        <v>269</v>
      </c>
      <c r="D43" s="46">
        <v>8</v>
      </c>
      <c r="E43" s="46">
        <v>27</v>
      </c>
      <c r="F43" s="46">
        <v>8</v>
      </c>
      <c r="G43" s="39">
        <v>27</v>
      </c>
      <c r="H43" s="28"/>
      <c r="I43" s="187"/>
      <c r="J43" s="28"/>
      <c r="K43" s="28"/>
      <c r="L43" s="28"/>
      <c r="M43" s="28"/>
      <c r="N43" s="28"/>
      <c r="O43" s="28"/>
      <c r="P43" s="137"/>
    </row>
    <row r="44" spans="2:16">
      <c r="B44" s="135"/>
      <c r="C44" s="188" t="s">
        <v>230</v>
      </c>
      <c r="D44" s="46">
        <v>8</v>
      </c>
      <c r="E44" s="46">
        <v>27</v>
      </c>
      <c r="F44" s="46">
        <v>8</v>
      </c>
      <c r="G44" s="39">
        <v>27</v>
      </c>
      <c r="H44" s="28"/>
      <c r="I44" s="187"/>
      <c r="J44" s="28"/>
      <c r="K44" s="28"/>
      <c r="L44" s="28"/>
      <c r="M44" s="28"/>
      <c r="N44" s="28"/>
      <c r="O44" s="28"/>
      <c r="P44" s="137"/>
    </row>
    <row r="45" spans="2:16">
      <c r="B45" s="135"/>
      <c r="C45" s="188" t="s">
        <v>270</v>
      </c>
      <c r="D45" s="46">
        <v>8</v>
      </c>
      <c r="E45" s="46">
        <v>27</v>
      </c>
      <c r="F45" s="46">
        <v>8</v>
      </c>
      <c r="G45" s="39">
        <v>27</v>
      </c>
      <c r="H45" s="28"/>
      <c r="I45" s="187"/>
      <c r="J45" s="28"/>
      <c r="K45" s="28"/>
      <c r="L45" s="28"/>
      <c r="M45" s="28"/>
      <c r="N45" s="28"/>
      <c r="O45" s="28"/>
      <c r="P45" s="137"/>
    </row>
    <row r="46" spans="2:16">
      <c r="B46" s="135"/>
      <c r="C46" s="188" t="s">
        <v>271</v>
      </c>
      <c r="D46" s="46">
        <v>8</v>
      </c>
      <c r="E46" s="46">
        <v>27</v>
      </c>
      <c r="F46" s="46">
        <v>8</v>
      </c>
      <c r="G46" s="39">
        <v>27</v>
      </c>
      <c r="H46" s="28"/>
      <c r="I46" s="187"/>
      <c r="J46" s="28"/>
      <c r="K46" s="28"/>
      <c r="L46" s="28"/>
      <c r="M46" s="28"/>
      <c r="N46" s="28"/>
      <c r="O46" s="28"/>
      <c r="P46" s="137"/>
    </row>
    <row r="47" spans="2:16">
      <c r="B47" s="135"/>
      <c r="C47" s="188" t="s">
        <v>272</v>
      </c>
      <c r="D47" s="46">
        <v>8</v>
      </c>
      <c r="E47" s="46">
        <v>27</v>
      </c>
      <c r="F47" s="46">
        <v>8</v>
      </c>
      <c r="G47" s="39">
        <v>27</v>
      </c>
      <c r="H47" s="28"/>
      <c r="I47" s="187"/>
      <c r="J47" s="28"/>
      <c r="K47" s="28"/>
      <c r="L47" s="28"/>
      <c r="M47" s="28"/>
      <c r="N47" s="28"/>
      <c r="O47" s="28"/>
      <c r="P47" s="137"/>
    </row>
    <row r="48" spans="2:16">
      <c r="B48" s="135"/>
      <c r="C48" s="188" t="s">
        <v>273</v>
      </c>
      <c r="D48" s="46">
        <v>8</v>
      </c>
      <c r="E48" s="46">
        <v>27</v>
      </c>
      <c r="F48" s="46">
        <v>8</v>
      </c>
      <c r="G48" s="39">
        <v>27</v>
      </c>
      <c r="H48" s="28"/>
      <c r="I48" s="187"/>
      <c r="J48" s="28"/>
      <c r="K48" s="28"/>
      <c r="L48" s="28"/>
      <c r="M48" s="28"/>
      <c r="N48" s="28"/>
      <c r="O48" s="28"/>
      <c r="P48" s="137"/>
    </row>
    <row r="49" spans="2:16">
      <c r="B49" s="135"/>
      <c r="C49" s="188" t="s">
        <v>274</v>
      </c>
      <c r="D49" s="46">
        <v>8</v>
      </c>
      <c r="E49" s="46">
        <v>27</v>
      </c>
      <c r="F49" s="46">
        <v>8</v>
      </c>
      <c r="G49" s="39">
        <v>27</v>
      </c>
      <c r="H49" s="28"/>
      <c r="I49" s="187"/>
      <c r="J49" s="28"/>
      <c r="K49" s="28"/>
      <c r="L49" s="28"/>
      <c r="M49" s="28"/>
      <c r="N49" s="28"/>
      <c r="O49" s="28"/>
      <c r="P49" s="137"/>
    </row>
    <row r="50" spans="2:16">
      <c r="B50" s="135"/>
      <c r="C50" s="188" t="s">
        <v>275</v>
      </c>
      <c r="D50" s="46">
        <v>8</v>
      </c>
      <c r="E50" s="46">
        <v>27</v>
      </c>
      <c r="F50" s="46">
        <v>8</v>
      </c>
      <c r="G50" s="39">
        <v>27</v>
      </c>
      <c r="H50" s="28"/>
      <c r="I50" s="187"/>
      <c r="J50" s="28"/>
      <c r="K50" s="28"/>
      <c r="L50" s="28"/>
      <c r="M50" s="28"/>
      <c r="N50" s="28"/>
      <c r="O50" s="28"/>
      <c r="P50" s="137"/>
    </row>
    <row r="51" spans="2:16">
      <c r="B51" s="135"/>
      <c r="C51" s="188" t="s">
        <v>276</v>
      </c>
      <c r="D51" s="46">
        <v>1</v>
      </c>
      <c r="E51" s="46">
        <v>27</v>
      </c>
      <c r="F51" s="46">
        <v>1</v>
      </c>
      <c r="G51" s="39">
        <v>27</v>
      </c>
      <c r="H51" s="28"/>
      <c r="I51" s="187"/>
      <c r="J51" s="28"/>
      <c r="K51" s="28"/>
      <c r="L51" s="28"/>
      <c r="M51" s="28"/>
      <c r="N51" s="28"/>
      <c r="O51" s="28"/>
      <c r="P51" s="137"/>
    </row>
    <row r="52" spans="2:16">
      <c r="B52" s="135"/>
      <c r="C52" s="188" t="s">
        <v>277</v>
      </c>
      <c r="D52" s="46">
        <v>1</v>
      </c>
      <c r="E52" s="46">
        <v>27</v>
      </c>
      <c r="F52" s="46">
        <v>1</v>
      </c>
      <c r="G52" s="39">
        <v>27</v>
      </c>
      <c r="H52" s="28"/>
      <c r="I52" s="187"/>
      <c r="J52" s="28"/>
      <c r="K52" s="28"/>
      <c r="L52" s="28"/>
      <c r="M52" s="28"/>
      <c r="N52" s="28"/>
      <c r="O52" s="28"/>
      <c r="P52" s="137"/>
    </row>
    <row r="53" spans="2:16">
      <c r="B53" s="135"/>
      <c r="C53" s="188" t="s">
        <v>278</v>
      </c>
      <c r="D53" s="46">
        <v>8</v>
      </c>
      <c r="E53" s="46">
        <v>27</v>
      </c>
      <c r="F53" s="46">
        <v>8</v>
      </c>
      <c r="G53" s="39">
        <v>27</v>
      </c>
      <c r="H53" s="28"/>
      <c r="I53" s="187"/>
      <c r="J53" s="28"/>
      <c r="K53" s="28"/>
      <c r="L53" s="28"/>
      <c r="M53" s="28"/>
      <c r="N53" s="28"/>
      <c r="O53" s="28"/>
      <c r="P53" s="137"/>
    </row>
    <row r="54" spans="2:16">
      <c r="B54" s="135"/>
      <c r="C54" s="188" t="s">
        <v>279</v>
      </c>
      <c r="D54" s="46">
        <v>1</v>
      </c>
      <c r="E54" s="46">
        <v>27</v>
      </c>
      <c r="F54" s="46">
        <v>1</v>
      </c>
      <c r="G54" s="39">
        <v>27</v>
      </c>
      <c r="H54" s="28"/>
      <c r="I54" s="187"/>
      <c r="J54" s="28"/>
      <c r="K54" s="28"/>
      <c r="L54" s="28"/>
      <c r="M54" s="28"/>
      <c r="N54" s="28"/>
      <c r="O54" s="28"/>
      <c r="P54" s="137"/>
    </row>
    <row r="55" spans="2:16">
      <c r="B55" s="135"/>
      <c r="C55" s="188" t="s">
        <v>280</v>
      </c>
      <c r="D55" s="46">
        <v>8</v>
      </c>
      <c r="E55" s="46">
        <v>27</v>
      </c>
      <c r="F55" s="46">
        <v>8</v>
      </c>
      <c r="G55" s="39">
        <v>27</v>
      </c>
      <c r="H55" s="28"/>
      <c r="I55" s="187"/>
      <c r="J55" s="28"/>
      <c r="K55" s="28"/>
      <c r="L55" s="28"/>
      <c r="M55" s="28"/>
      <c r="N55" s="28"/>
      <c r="O55" s="28"/>
      <c r="P55" s="137"/>
    </row>
    <row r="56" spans="2:16">
      <c r="B56" s="135"/>
      <c r="C56" s="188" t="s">
        <v>281</v>
      </c>
      <c r="D56" s="46">
        <v>8</v>
      </c>
      <c r="E56" s="46">
        <v>27</v>
      </c>
      <c r="F56" s="46">
        <v>8</v>
      </c>
      <c r="G56" s="39">
        <v>27</v>
      </c>
      <c r="H56" s="28"/>
      <c r="I56" s="187"/>
      <c r="J56" s="28"/>
      <c r="K56" s="28"/>
      <c r="L56" s="28"/>
      <c r="M56" s="28"/>
      <c r="N56" s="28"/>
      <c r="O56" s="28"/>
      <c r="P56" s="137"/>
    </row>
    <row r="57" spans="2:16">
      <c r="B57" s="135"/>
      <c r="C57" s="188" t="s">
        <v>282</v>
      </c>
      <c r="D57" s="46">
        <v>2</v>
      </c>
      <c r="E57" s="46">
        <v>27</v>
      </c>
      <c r="F57" s="46">
        <v>2</v>
      </c>
      <c r="G57" s="39">
        <v>27</v>
      </c>
      <c r="H57" s="28"/>
      <c r="I57" s="187"/>
      <c r="J57" s="28"/>
      <c r="K57" s="28"/>
      <c r="L57" s="28"/>
      <c r="M57" s="28"/>
      <c r="N57" s="28"/>
      <c r="O57" s="28"/>
      <c r="P57" s="137"/>
    </row>
    <row r="58" spans="2:16">
      <c r="B58" s="135"/>
      <c r="C58" s="188" t="s">
        <v>222</v>
      </c>
      <c r="D58" s="46">
        <v>1</v>
      </c>
      <c r="E58" s="46">
        <v>27</v>
      </c>
      <c r="F58" s="46">
        <v>1</v>
      </c>
      <c r="G58" s="39">
        <v>27</v>
      </c>
      <c r="H58" s="28"/>
      <c r="I58" s="187"/>
      <c r="J58" s="28"/>
      <c r="K58" s="28"/>
      <c r="L58" s="28"/>
      <c r="M58" s="28"/>
      <c r="N58" s="28"/>
      <c r="O58" s="28"/>
      <c r="P58" s="137"/>
    </row>
    <row r="59" spans="2:16">
      <c r="B59" s="135"/>
      <c r="C59" s="188" t="s">
        <v>283</v>
      </c>
      <c r="D59" s="46">
        <v>8</v>
      </c>
      <c r="E59" s="46">
        <v>27</v>
      </c>
      <c r="F59" s="46">
        <v>8</v>
      </c>
      <c r="G59" s="39">
        <v>27</v>
      </c>
      <c r="H59" s="28"/>
      <c r="I59" s="187"/>
      <c r="J59" s="28"/>
      <c r="K59" s="28"/>
      <c r="L59" s="28"/>
      <c r="M59" s="28"/>
      <c r="N59" s="28"/>
      <c r="O59" s="28"/>
      <c r="P59" s="137"/>
    </row>
    <row r="60" spans="2:16">
      <c r="B60" s="135"/>
      <c r="C60" s="188" t="s">
        <v>239</v>
      </c>
      <c r="D60" s="46">
        <v>2</v>
      </c>
      <c r="E60" s="46">
        <v>27</v>
      </c>
      <c r="F60" s="46">
        <v>2</v>
      </c>
      <c r="G60" s="39">
        <v>27</v>
      </c>
      <c r="H60" s="28"/>
      <c r="I60" s="187"/>
      <c r="J60" s="28"/>
      <c r="K60" s="28"/>
      <c r="L60" s="28"/>
      <c r="M60" s="28"/>
      <c r="N60" s="28"/>
      <c r="O60" s="28"/>
      <c r="P60" s="137"/>
    </row>
    <row r="61" spans="2:16">
      <c r="B61" s="135"/>
      <c r="C61" s="188" t="s">
        <v>284</v>
      </c>
      <c r="D61" s="46">
        <v>8</v>
      </c>
      <c r="E61" s="46">
        <v>27</v>
      </c>
      <c r="F61" s="46">
        <v>8</v>
      </c>
      <c r="G61" s="39">
        <v>27</v>
      </c>
      <c r="H61" s="28"/>
      <c r="I61" s="187"/>
      <c r="J61" s="28"/>
      <c r="K61" s="28"/>
      <c r="L61" s="28"/>
      <c r="M61" s="28"/>
      <c r="N61" s="28"/>
      <c r="O61" s="28"/>
      <c r="P61" s="137"/>
    </row>
    <row r="62" spans="2:16">
      <c r="B62" s="135"/>
      <c r="C62" s="188" t="s">
        <v>231</v>
      </c>
      <c r="D62" s="46">
        <v>8</v>
      </c>
      <c r="E62" s="46">
        <v>27</v>
      </c>
      <c r="F62" s="46">
        <v>8</v>
      </c>
      <c r="G62" s="39">
        <v>27</v>
      </c>
      <c r="H62" s="28"/>
      <c r="I62" s="187"/>
      <c r="J62" s="28"/>
      <c r="K62" s="28"/>
      <c r="L62" s="28"/>
      <c r="M62" s="28"/>
      <c r="N62" s="28"/>
      <c r="O62" s="28"/>
      <c r="P62" s="137"/>
    </row>
    <row r="63" spans="2:16">
      <c r="B63" s="135"/>
      <c r="C63" s="188" t="s">
        <v>285</v>
      </c>
      <c r="D63" s="46">
        <v>1</v>
      </c>
      <c r="E63" s="46">
        <v>27</v>
      </c>
      <c r="F63" s="46">
        <v>1</v>
      </c>
      <c r="G63" s="39">
        <v>27</v>
      </c>
      <c r="H63" s="28"/>
      <c r="I63" s="187"/>
      <c r="J63" s="28"/>
      <c r="K63" s="28"/>
      <c r="L63" s="28"/>
      <c r="M63" s="28"/>
      <c r="N63" s="28"/>
      <c r="O63" s="28"/>
      <c r="P63" s="137"/>
    </row>
    <row r="64" spans="2:16">
      <c r="B64" s="135"/>
      <c r="C64" s="188" t="s">
        <v>286</v>
      </c>
      <c r="D64" s="46">
        <v>8</v>
      </c>
      <c r="E64" s="46">
        <v>27</v>
      </c>
      <c r="F64" s="46">
        <v>8</v>
      </c>
      <c r="G64" s="39">
        <v>27</v>
      </c>
      <c r="H64" s="28"/>
      <c r="I64" s="187"/>
      <c r="J64" s="28"/>
      <c r="K64" s="28"/>
      <c r="L64" s="28"/>
      <c r="M64" s="28"/>
      <c r="N64" s="28"/>
      <c r="O64" s="28"/>
      <c r="P64" s="137"/>
    </row>
    <row r="65" spans="2:16">
      <c r="B65" s="135"/>
      <c r="C65" s="188" t="s">
        <v>287</v>
      </c>
      <c r="D65" s="46">
        <v>8</v>
      </c>
      <c r="E65" s="46">
        <v>27</v>
      </c>
      <c r="F65" s="46">
        <v>8</v>
      </c>
      <c r="G65" s="39">
        <v>27</v>
      </c>
      <c r="H65" s="28"/>
      <c r="I65" s="187"/>
      <c r="J65" s="28"/>
      <c r="K65" s="28"/>
      <c r="L65" s="28"/>
      <c r="M65" s="28"/>
      <c r="N65" s="28"/>
      <c r="O65" s="28"/>
      <c r="P65" s="137"/>
    </row>
    <row r="66" spans="2:16">
      <c r="B66" s="135"/>
      <c r="C66" s="188" t="s">
        <v>288</v>
      </c>
      <c r="D66" s="46">
        <v>8</v>
      </c>
      <c r="E66" s="46">
        <v>27</v>
      </c>
      <c r="F66" s="46">
        <v>8</v>
      </c>
      <c r="G66" s="39">
        <v>27</v>
      </c>
      <c r="H66" s="28"/>
      <c r="I66" s="187"/>
      <c r="J66" s="28"/>
      <c r="K66" s="28"/>
      <c r="L66" s="28"/>
      <c r="M66" s="28"/>
      <c r="N66" s="28"/>
      <c r="O66" s="28"/>
      <c r="P66" s="137"/>
    </row>
    <row r="67" spans="2:16">
      <c r="B67" s="135"/>
      <c r="C67" s="188" t="s">
        <v>289</v>
      </c>
      <c r="D67" s="46">
        <v>8</v>
      </c>
      <c r="E67" s="46">
        <v>27</v>
      </c>
      <c r="F67" s="46">
        <v>8</v>
      </c>
      <c r="G67" s="39">
        <v>27</v>
      </c>
      <c r="H67" s="28"/>
      <c r="I67" s="187"/>
      <c r="J67" s="28"/>
      <c r="K67" s="28"/>
      <c r="L67" s="28"/>
      <c r="M67" s="28"/>
      <c r="N67" s="28"/>
      <c r="O67" s="28"/>
      <c r="P67" s="137"/>
    </row>
    <row r="68" spans="2:16">
      <c r="B68" s="135"/>
      <c r="C68" s="188" t="s">
        <v>290</v>
      </c>
      <c r="D68" s="46">
        <v>8</v>
      </c>
      <c r="E68" s="46">
        <v>27</v>
      </c>
      <c r="F68" s="46">
        <v>8</v>
      </c>
      <c r="G68" s="39">
        <v>27</v>
      </c>
      <c r="H68" s="28"/>
      <c r="I68" s="187"/>
      <c r="J68" s="28"/>
      <c r="K68" s="28"/>
      <c r="L68" s="28"/>
      <c r="M68" s="28"/>
      <c r="N68" s="28"/>
      <c r="O68" s="28"/>
      <c r="P68" s="137"/>
    </row>
    <row r="69" spans="2:16">
      <c r="B69" s="135"/>
      <c r="C69" s="188" t="s">
        <v>306</v>
      </c>
      <c r="D69" s="46">
        <v>8</v>
      </c>
      <c r="E69" s="46">
        <v>27</v>
      </c>
      <c r="F69" s="46">
        <v>8</v>
      </c>
      <c r="G69" s="39">
        <v>27</v>
      </c>
      <c r="H69" s="28"/>
      <c r="I69" s="187"/>
      <c r="J69" s="28"/>
      <c r="K69" s="28"/>
      <c r="L69" s="28"/>
      <c r="M69" s="28"/>
      <c r="N69" s="28"/>
      <c r="O69" s="28"/>
      <c r="P69" s="137"/>
    </row>
    <row r="70" spans="2:16">
      <c r="B70" s="135"/>
      <c r="C70" s="188" t="s">
        <v>291</v>
      </c>
      <c r="D70" s="46">
        <v>3</v>
      </c>
      <c r="E70" s="46">
        <v>27</v>
      </c>
      <c r="F70" s="46">
        <v>0.8</v>
      </c>
      <c r="G70" s="39">
        <v>27</v>
      </c>
      <c r="H70" s="28"/>
      <c r="I70" s="187"/>
      <c r="J70" s="28"/>
      <c r="K70" s="28"/>
      <c r="L70" s="28"/>
      <c r="M70" s="28"/>
      <c r="N70" s="28"/>
      <c r="O70" s="28"/>
      <c r="P70" s="137"/>
    </row>
    <row r="71" spans="2:16">
      <c r="B71" s="135"/>
      <c r="C71" s="188" t="s">
        <v>292</v>
      </c>
      <c r="D71" s="46">
        <v>8</v>
      </c>
      <c r="E71" s="46">
        <v>27</v>
      </c>
      <c r="F71" s="46">
        <v>8</v>
      </c>
      <c r="G71" s="39">
        <v>27</v>
      </c>
      <c r="H71" s="28"/>
      <c r="I71" s="187"/>
      <c r="J71" s="28"/>
      <c r="K71" s="28"/>
      <c r="L71" s="28"/>
      <c r="M71" s="28"/>
      <c r="N71" s="28"/>
      <c r="O71" s="28"/>
      <c r="P71" s="137"/>
    </row>
    <row r="72" spans="2:16">
      <c r="B72" s="135"/>
      <c r="C72" s="188" t="s">
        <v>223</v>
      </c>
      <c r="D72" s="46">
        <v>8</v>
      </c>
      <c r="E72" s="46">
        <v>27</v>
      </c>
      <c r="F72" s="46">
        <v>8</v>
      </c>
      <c r="G72" s="39">
        <v>27</v>
      </c>
      <c r="H72" s="28"/>
      <c r="I72" s="187"/>
      <c r="J72" s="28"/>
      <c r="K72" s="28"/>
      <c r="L72" s="28"/>
      <c r="M72" s="28"/>
      <c r="N72" s="28"/>
      <c r="O72" s="28"/>
      <c r="P72" s="137"/>
    </row>
    <row r="73" spans="2:16">
      <c r="B73" s="135"/>
      <c r="C73" s="188" t="s">
        <v>293</v>
      </c>
      <c r="D73" s="46">
        <v>1</v>
      </c>
      <c r="E73" s="46">
        <v>27</v>
      </c>
      <c r="F73" s="46">
        <v>1</v>
      </c>
      <c r="G73" s="39">
        <v>27</v>
      </c>
      <c r="H73" s="28"/>
      <c r="I73" s="187"/>
      <c r="J73" s="28"/>
      <c r="K73" s="28"/>
      <c r="L73" s="28"/>
      <c r="M73" s="28"/>
      <c r="N73" s="28"/>
      <c r="O73" s="28"/>
      <c r="P73" s="137"/>
    </row>
    <row r="74" spans="2:16">
      <c r="B74" s="135"/>
      <c r="C74" s="188" t="s">
        <v>294</v>
      </c>
      <c r="D74" s="46">
        <v>8</v>
      </c>
      <c r="E74" s="46">
        <v>27</v>
      </c>
      <c r="F74" s="46">
        <v>8</v>
      </c>
      <c r="G74" s="39">
        <v>27</v>
      </c>
      <c r="H74" s="28"/>
      <c r="I74" s="187"/>
      <c r="J74" s="28"/>
      <c r="K74" s="28"/>
      <c r="L74" s="28"/>
      <c r="M74" s="28"/>
      <c r="N74" s="28"/>
      <c r="O74" s="28"/>
      <c r="P74" s="137"/>
    </row>
    <row r="75" spans="2:16">
      <c r="B75" s="135"/>
      <c r="C75" s="188" t="s">
        <v>295</v>
      </c>
      <c r="D75" s="46">
        <v>8</v>
      </c>
      <c r="E75" s="46">
        <v>27</v>
      </c>
      <c r="F75" s="46">
        <v>8</v>
      </c>
      <c r="G75" s="39">
        <v>27</v>
      </c>
      <c r="H75" s="28"/>
      <c r="I75" s="187"/>
      <c r="J75" s="28"/>
      <c r="K75" s="28"/>
      <c r="L75" s="28"/>
      <c r="M75" s="28"/>
      <c r="N75" s="28"/>
      <c r="O75" s="28"/>
      <c r="P75" s="137"/>
    </row>
    <row r="76" spans="2:16">
      <c r="B76" s="135"/>
      <c r="C76" s="188" t="s">
        <v>296</v>
      </c>
      <c r="D76" s="46">
        <v>8</v>
      </c>
      <c r="E76" s="46">
        <v>27</v>
      </c>
      <c r="F76" s="46">
        <v>8</v>
      </c>
      <c r="G76" s="39">
        <v>27</v>
      </c>
      <c r="H76" s="28"/>
      <c r="I76" s="187"/>
      <c r="J76" s="28"/>
      <c r="K76" s="28"/>
      <c r="L76" s="28"/>
      <c r="M76" s="28"/>
      <c r="N76" s="28"/>
      <c r="O76" s="28"/>
      <c r="P76" s="137"/>
    </row>
    <row r="77" spans="2:16">
      <c r="B77" s="135"/>
      <c r="C77" s="188" t="s">
        <v>297</v>
      </c>
      <c r="D77" s="46">
        <v>8</v>
      </c>
      <c r="E77" s="46">
        <v>27</v>
      </c>
      <c r="F77" s="46">
        <v>8</v>
      </c>
      <c r="G77" s="39">
        <v>27</v>
      </c>
      <c r="H77" s="28"/>
      <c r="I77" s="187"/>
      <c r="J77" s="28"/>
      <c r="K77" s="28"/>
      <c r="L77" s="28"/>
      <c r="M77" s="28"/>
      <c r="N77" s="28"/>
      <c r="O77" s="28"/>
      <c r="P77" s="137"/>
    </row>
    <row r="78" spans="2:16">
      <c r="B78" s="135"/>
      <c r="C78" s="188" t="s">
        <v>298</v>
      </c>
      <c r="D78" s="46">
        <v>2</v>
      </c>
      <c r="E78" s="46">
        <v>27</v>
      </c>
      <c r="F78" s="46">
        <v>2</v>
      </c>
      <c r="G78" s="39">
        <v>27</v>
      </c>
      <c r="H78" s="28"/>
      <c r="I78" s="187"/>
      <c r="J78" s="28"/>
      <c r="K78" s="28"/>
      <c r="L78" s="28"/>
      <c r="M78" s="28"/>
      <c r="N78" s="28"/>
      <c r="O78" s="28"/>
      <c r="P78" s="137"/>
    </row>
    <row r="79" spans="2:16">
      <c r="B79" s="135"/>
      <c r="C79" s="188" t="s">
        <v>299</v>
      </c>
      <c r="D79" s="46">
        <v>8</v>
      </c>
      <c r="E79" s="46">
        <v>27</v>
      </c>
      <c r="F79" s="46">
        <v>8</v>
      </c>
      <c r="G79" s="39">
        <v>27</v>
      </c>
      <c r="H79" s="28"/>
      <c r="I79" s="187"/>
      <c r="J79" s="28"/>
      <c r="K79" s="28"/>
      <c r="L79" s="28"/>
      <c r="M79" s="28"/>
      <c r="N79" s="28"/>
      <c r="O79" s="28"/>
      <c r="P79" s="137"/>
    </row>
    <row r="80" spans="2:16">
      <c r="B80" s="135"/>
      <c r="C80" s="188" t="s">
        <v>300</v>
      </c>
      <c r="D80" s="46">
        <v>8</v>
      </c>
      <c r="E80" s="46">
        <v>27</v>
      </c>
      <c r="F80" s="46">
        <v>0.4</v>
      </c>
      <c r="G80" s="39">
        <v>27</v>
      </c>
      <c r="H80" s="28"/>
      <c r="I80" s="187"/>
      <c r="J80" s="28"/>
      <c r="K80" s="28"/>
      <c r="L80" s="28"/>
      <c r="M80" s="28"/>
      <c r="N80" s="28"/>
      <c r="O80" s="28"/>
      <c r="P80" s="137"/>
    </row>
    <row r="81" spans="2:16">
      <c r="B81" s="135"/>
      <c r="C81" s="188" t="s">
        <v>232</v>
      </c>
      <c r="D81" s="46">
        <v>8</v>
      </c>
      <c r="E81" s="46">
        <v>27</v>
      </c>
      <c r="F81" s="46">
        <v>8</v>
      </c>
      <c r="G81" s="39">
        <v>27</v>
      </c>
      <c r="H81" s="28"/>
      <c r="I81" s="187"/>
      <c r="J81" s="28"/>
      <c r="K81" s="28"/>
      <c r="L81" s="28"/>
      <c r="M81" s="28"/>
      <c r="N81" s="28"/>
      <c r="O81" s="28"/>
      <c r="P81" s="137"/>
    </row>
    <row r="82" spans="2:16">
      <c r="B82" s="135"/>
      <c r="C82" s="188" t="s">
        <v>301</v>
      </c>
      <c r="D82" s="46">
        <v>8</v>
      </c>
      <c r="E82" s="46">
        <v>27</v>
      </c>
      <c r="F82" s="46">
        <v>8</v>
      </c>
      <c r="G82" s="39">
        <v>27</v>
      </c>
      <c r="H82" s="28"/>
      <c r="I82" s="187"/>
      <c r="J82" s="28"/>
      <c r="K82" s="28"/>
      <c r="L82" s="28"/>
      <c r="M82" s="28"/>
      <c r="N82" s="28"/>
      <c r="O82" s="28"/>
      <c r="P82" s="137"/>
    </row>
    <row r="83" spans="2:16">
      <c r="B83" s="135"/>
      <c r="C83" s="188" t="s">
        <v>302</v>
      </c>
      <c r="D83" s="46">
        <v>8</v>
      </c>
      <c r="E83" s="46">
        <v>27</v>
      </c>
      <c r="F83" s="46">
        <v>8</v>
      </c>
      <c r="G83" s="39">
        <v>27</v>
      </c>
      <c r="H83" s="28"/>
      <c r="I83" s="187"/>
      <c r="J83" s="28"/>
      <c r="K83" s="28"/>
      <c r="L83" s="28"/>
      <c r="M83" s="28"/>
      <c r="N83" s="28"/>
      <c r="O83" s="28"/>
      <c r="P83" s="137"/>
    </row>
    <row r="84" spans="2:16">
      <c r="B84" s="135"/>
      <c r="C84" s="188" t="s">
        <v>303</v>
      </c>
      <c r="D84" s="46">
        <v>8</v>
      </c>
      <c r="E84" s="46">
        <v>27</v>
      </c>
      <c r="F84" s="46">
        <v>8</v>
      </c>
      <c r="G84" s="39">
        <v>27</v>
      </c>
      <c r="H84" s="28"/>
      <c r="I84" s="187"/>
      <c r="J84" s="28"/>
      <c r="K84" s="28"/>
      <c r="L84" s="28"/>
      <c r="M84" s="28"/>
      <c r="N84" s="28"/>
      <c r="O84" s="28"/>
      <c r="P84" s="137"/>
    </row>
    <row r="85" spans="2:16">
      <c r="B85" s="135"/>
      <c r="C85" s="188" t="s">
        <v>304</v>
      </c>
      <c r="D85" s="46">
        <v>8</v>
      </c>
      <c r="E85" s="46">
        <v>27</v>
      </c>
      <c r="F85" s="46">
        <v>8</v>
      </c>
      <c r="G85" s="39">
        <v>27</v>
      </c>
      <c r="H85" s="28"/>
      <c r="I85" s="187"/>
      <c r="J85" s="28"/>
      <c r="K85" s="28"/>
      <c r="L85" s="28"/>
      <c r="M85" s="28"/>
      <c r="N85" s="28"/>
      <c r="O85" s="28"/>
      <c r="P85" s="137"/>
    </row>
    <row r="86" spans="2:16">
      <c r="B86" s="135"/>
      <c r="C86" s="188" t="s">
        <v>233</v>
      </c>
      <c r="D86" s="46">
        <v>1</v>
      </c>
      <c r="E86" s="46">
        <v>27</v>
      </c>
      <c r="F86" s="46">
        <v>1</v>
      </c>
      <c r="G86" s="39">
        <v>27</v>
      </c>
      <c r="H86" s="28"/>
      <c r="I86" s="187"/>
      <c r="J86" s="28"/>
      <c r="K86" s="28"/>
      <c r="L86" s="28"/>
      <c r="M86" s="28"/>
      <c r="N86" s="28"/>
      <c r="O86" s="28"/>
      <c r="P86" s="137"/>
    </row>
    <row r="87" spans="2:16">
      <c r="B87" s="135"/>
      <c r="C87" s="188" t="s">
        <v>234</v>
      </c>
      <c r="D87" s="46">
        <v>0.8</v>
      </c>
      <c r="E87" s="46">
        <v>27</v>
      </c>
      <c r="F87" s="46">
        <v>0.8</v>
      </c>
      <c r="G87" s="39">
        <v>27</v>
      </c>
      <c r="H87" s="28"/>
      <c r="I87" s="187"/>
      <c r="J87" s="28"/>
      <c r="K87" s="28"/>
      <c r="L87" s="28"/>
      <c r="M87" s="28"/>
      <c r="N87" s="28"/>
      <c r="O87" s="28"/>
      <c r="P87" s="137"/>
    </row>
    <row r="88" spans="2:16">
      <c r="B88" s="135"/>
      <c r="C88" s="188" t="s">
        <v>108</v>
      </c>
      <c r="D88" s="46">
        <v>9.7</v>
      </c>
      <c r="E88" s="46">
        <v>72.9</v>
      </c>
      <c r="F88" s="46">
        <v>9.7</v>
      </c>
      <c r="G88" s="43">
        <v>72.9</v>
      </c>
      <c r="H88" s="28"/>
      <c r="I88" s="187"/>
      <c r="J88" s="28"/>
      <c r="K88" s="28"/>
      <c r="L88" s="28"/>
      <c r="M88" s="28"/>
      <c r="N88" s="28"/>
      <c r="O88" s="28"/>
      <c r="P88" s="137"/>
    </row>
    <row r="89" spans="2:16">
      <c r="B89" s="135"/>
      <c r="C89" s="188" t="s">
        <v>101</v>
      </c>
      <c r="D89" s="46">
        <v>11.6</v>
      </c>
      <c r="E89" s="46">
        <v>96.3</v>
      </c>
      <c r="F89" s="46">
        <v>11.6</v>
      </c>
      <c r="G89" s="43">
        <v>96.3</v>
      </c>
      <c r="H89" s="28"/>
      <c r="I89" s="187"/>
      <c r="J89" s="28"/>
      <c r="K89" s="28"/>
      <c r="L89" s="28"/>
      <c r="M89" s="28"/>
      <c r="N89" s="28"/>
      <c r="O89" s="28"/>
      <c r="P89" s="137"/>
    </row>
    <row r="90" spans="2:16">
      <c r="B90" s="135"/>
      <c r="C90" s="188" t="s">
        <v>109</v>
      </c>
      <c r="D90" s="46"/>
      <c r="E90" s="46"/>
      <c r="F90" s="46"/>
      <c r="G90" s="39"/>
      <c r="H90" s="187"/>
      <c r="I90" s="187"/>
      <c r="J90" s="28"/>
      <c r="K90" s="28"/>
      <c r="L90" s="28"/>
      <c r="M90" s="28"/>
      <c r="N90" s="28"/>
      <c r="O90" s="28"/>
      <c r="P90" s="137"/>
    </row>
    <row r="91" spans="2:16">
      <c r="B91" s="135"/>
      <c r="C91" s="188" t="s">
        <v>110</v>
      </c>
      <c r="D91" s="46"/>
      <c r="E91" s="46"/>
      <c r="F91" s="46"/>
      <c r="G91" s="39"/>
      <c r="H91" s="28"/>
      <c r="I91" s="187"/>
      <c r="J91" s="28"/>
      <c r="K91" s="28"/>
      <c r="L91" s="28"/>
      <c r="M91" s="28"/>
      <c r="N91" s="28"/>
      <c r="O91" s="28"/>
      <c r="P91" s="137"/>
    </row>
    <row r="92" spans="2:16">
      <c r="B92" s="135"/>
      <c r="C92" s="28"/>
      <c r="D92" s="187"/>
      <c r="E92" s="28"/>
      <c r="F92" s="28"/>
      <c r="G92" s="28"/>
      <c r="H92" s="28"/>
      <c r="I92" s="187"/>
      <c r="J92" s="28"/>
      <c r="K92" s="28"/>
      <c r="L92" s="28"/>
      <c r="M92" s="28"/>
      <c r="N92" s="28"/>
      <c r="O92" s="28"/>
      <c r="P92" s="137"/>
    </row>
    <row r="93" spans="2:16">
      <c r="B93" s="135"/>
      <c r="C93" s="28" t="s">
        <v>123</v>
      </c>
      <c r="D93" s="28"/>
      <c r="E93" s="28"/>
      <c r="F93" s="28"/>
      <c r="G93" s="28"/>
      <c r="H93" s="28"/>
      <c r="I93" s="28"/>
      <c r="J93" s="28"/>
      <c r="K93" s="28"/>
      <c r="L93" s="28"/>
      <c r="M93" s="28"/>
      <c r="N93" s="28"/>
      <c r="O93" s="28"/>
      <c r="P93" s="137"/>
    </row>
    <row r="94" spans="2:16" ht="45.75" thickBot="1">
      <c r="B94" s="135"/>
      <c r="C94" s="35" t="s">
        <v>0</v>
      </c>
      <c r="D94" s="35" t="s">
        <v>1</v>
      </c>
      <c r="E94" s="35" t="s">
        <v>93</v>
      </c>
      <c r="F94" s="35" t="s">
        <v>2</v>
      </c>
      <c r="G94" s="35" t="s">
        <v>3</v>
      </c>
      <c r="H94" s="35" t="s">
        <v>4</v>
      </c>
      <c r="I94" s="35" t="s">
        <v>212</v>
      </c>
      <c r="J94" s="48" t="s">
        <v>96</v>
      </c>
      <c r="K94" s="35" t="s">
        <v>206</v>
      </c>
      <c r="L94" s="42" t="s">
        <v>187</v>
      </c>
      <c r="M94" s="48" t="s">
        <v>188</v>
      </c>
      <c r="N94" s="35" t="s">
        <v>185</v>
      </c>
      <c r="O94" s="134" t="s">
        <v>186</v>
      </c>
      <c r="P94" s="125"/>
    </row>
    <row r="95" spans="2:16" ht="15.75" thickTop="1">
      <c r="B95" s="135"/>
      <c r="C95" s="189" t="s">
        <v>224</v>
      </c>
      <c r="D95" s="189" t="s">
        <v>7</v>
      </c>
      <c r="E95" s="189" t="b">
        <v>0</v>
      </c>
      <c r="F95" s="189" t="s">
        <v>8</v>
      </c>
      <c r="G95" s="189" t="s">
        <v>9</v>
      </c>
      <c r="H95" s="46" t="str">
        <f>C95&amp;"|"&amp;D95&amp;"|"&amp;E95&amp;"|"&amp;F95&amp;"|"&amp;G95</f>
        <v>Wensum|Cereals|FALSE|600to700|FreeDrain</v>
      </c>
      <c r="I95" s="132">
        <v>0.054275224678316372</v>
      </c>
      <c r="J95" s="50">
        <v>26.54388787863137</v>
      </c>
      <c r="K95" s="36" t="str">
        <f>D95&amp;"|"&amp;F95</f>
        <v>Cereals|600to700</v>
      </c>
      <c r="L95" s="47">
        <f>AVERAGE(I95,I97,I99,I171,I173,I175,I221,I223,I267,I269,I271,I355,I357,I359)</f>
        <v>0.43829924601432957</v>
      </c>
      <c r="M95" s="199">
        <f>AVERAGE(J95,J97,J99,J171,J173,J175,J221,J223,J267,J269,J271,J355,J357,J359)</f>
        <v>31.28869819332871</v>
      </c>
      <c r="N95" s="50">
        <f>AVERAGE(I95:I106,I171:I179,I221:I228,I267:I279,I355:I367)</f>
        <v>0.711930375614551</v>
      </c>
      <c r="O95" s="37">
        <f>AVERAGE(J95:J106,J171:J179,J221:J228,J267:J279,J355:J367)</f>
        <v>35.822223128841138</v>
      </c>
      <c r="P95" s="125"/>
    </row>
    <row r="96" spans="2:16">
      <c r="B96" s="135"/>
      <c r="C96" s="189" t="s">
        <v>224</v>
      </c>
      <c r="D96" s="189" t="s">
        <v>7</v>
      </c>
      <c r="E96" s="189" t="b">
        <v>1</v>
      </c>
      <c r="F96" s="189" t="s">
        <v>8</v>
      </c>
      <c r="G96" s="189" t="s">
        <v>9</v>
      </c>
      <c r="H96" s="46" t="str">
        <f>C96&amp;"|"&amp;D96&amp;"|"&amp;E96&amp;"|"&amp;F96&amp;"|"&amp;G96</f>
        <v>Wensum|Cereals|TRUE|600to700|FreeDrain</v>
      </c>
      <c r="I96" s="132">
        <v>0.054270943193136953</v>
      </c>
      <c r="J96" s="50">
        <v>26.468500344899152</v>
      </c>
      <c r="K96" s="36" t="str">
        <f>D96&amp;"|"&amp;F96</f>
        <v>Cereals|600to700</v>
      </c>
      <c r="L96" s="47"/>
      <c r="M96" s="132"/>
      <c r="N96" s="50"/>
      <c r="O96" s="47"/>
      <c r="P96" s="125"/>
    </row>
    <row r="97" spans="2:16">
      <c r="B97" s="135"/>
      <c r="C97" s="189" t="s">
        <v>224</v>
      </c>
      <c r="D97" s="189" t="s">
        <v>7</v>
      </c>
      <c r="E97" s="189" t="b">
        <v>0</v>
      </c>
      <c r="F97" s="189" t="s">
        <v>8</v>
      </c>
      <c r="G97" s="189" t="s">
        <v>10</v>
      </c>
      <c r="H97" s="46" t="str">
        <f>C97&amp;"|"&amp;D97&amp;"|"&amp;E97&amp;"|"&amp;F97&amp;"|"&amp;G97</f>
        <v>Wensum|Cereals|FALSE|600to700|DrainedAr</v>
      </c>
      <c r="I97" s="132">
        <v>0.33983727969969041</v>
      </c>
      <c r="J97" s="50">
        <v>19.163950278914385</v>
      </c>
      <c r="K97" s="36" t="str">
        <f>D97&amp;"|"&amp;F97</f>
        <v>Cereals|600to700</v>
      </c>
      <c r="L97" s="47"/>
      <c r="M97" s="132"/>
      <c r="N97" s="50"/>
      <c r="O97" s="47"/>
      <c r="P97" s="125"/>
    </row>
    <row r="98" spans="2:16">
      <c r="B98" s="135"/>
      <c r="C98" s="189" t="s">
        <v>224</v>
      </c>
      <c r="D98" s="189" t="s">
        <v>7</v>
      </c>
      <c r="E98" s="189" t="b">
        <v>1</v>
      </c>
      <c r="F98" s="189" t="s">
        <v>8</v>
      </c>
      <c r="G98" s="189" t="s">
        <v>10</v>
      </c>
      <c r="H98" s="46" t="str">
        <f>C98&amp;"|"&amp;D98&amp;"|"&amp;E98&amp;"|"&amp;F98&amp;"|"&amp;G98</f>
        <v>Wensum|Cereals|TRUE|600to700|DrainedAr</v>
      </c>
      <c r="I98" s="132">
        <v>0.33980060996948158</v>
      </c>
      <c r="J98" s="50">
        <v>19.112987925886724</v>
      </c>
      <c r="K98" s="36" t="str">
        <f>D98&amp;"|"&amp;F98</f>
        <v>Cereals|600to700</v>
      </c>
      <c r="L98" s="47"/>
      <c r="M98" s="132"/>
      <c r="N98" s="50"/>
      <c r="O98" s="47"/>
      <c r="P98" s="125"/>
    </row>
    <row r="99" spans="2:16">
      <c r="B99" s="135"/>
      <c r="C99" s="189" t="s">
        <v>224</v>
      </c>
      <c r="D99" s="189" t="s">
        <v>7</v>
      </c>
      <c r="E99" s="189" t="b">
        <v>0</v>
      </c>
      <c r="F99" s="189" t="s">
        <v>8</v>
      </c>
      <c r="G99" s="189" t="s">
        <v>11</v>
      </c>
      <c r="H99" s="46" t="str">
        <f>C99&amp;"|"&amp;D99&amp;"|"&amp;E99&amp;"|"&amp;F99&amp;"|"&amp;G99</f>
        <v>Wensum|Cereals|FALSE|600to700|DrainedArGr</v>
      </c>
      <c r="I99" s="132">
        <v>0.55855610023199342</v>
      </c>
      <c r="J99" s="50">
        <v>20.25339855252869</v>
      </c>
      <c r="K99" s="36" t="str">
        <f>D99&amp;"|"&amp;F99</f>
        <v>Cereals|600to700</v>
      </c>
      <c r="L99" s="47"/>
      <c r="M99" s="132"/>
      <c r="N99" s="50"/>
      <c r="O99" s="47"/>
      <c r="P99" s="125"/>
    </row>
    <row r="100" spans="2:16">
      <c r="B100" s="135"/>
      <c r="C100" s="189" t="s">
        <v>224</v>
      </c>
      <c r="D100" s="189" t="s">
        <v>7</v>
      </c>
      <c r="E100" s="189" t="b">
        <v>1</v>
      </c>
      <c r="F100" s="189" t="s">
        <v>8</v>
      </c>
      <c r="G100" s="189" t="s">
        <v>11</v>
      </c>
      <c r="H100" s="46" t="str">
        <f>C100&amp;"|"&amp;D100&amp;"|"&amp;E100&amp;"|"&amp;F100&amp;"|"&amp;G100</f>
        <v>Wensum|Cereals|TRUE|600to700|DrainedArGr</v>
      </c>
      <c r="I100" s="132">
        <v>0.55848487909082245</v>
      </c>
      <c r="J100" s="50">
        <v>20.203124159198481</v>
      </c>
      <c r="K100" s="36" t="str">
        <f>D100&amp;"|"&amp;F100</f>
        <v>Cereals|600to700</v>
      </c>
      <c r="L100" s="47"/>
      <c r="M100" s="132"/>
      <c r="N100" s="50"/>
      <c r="O100" s="47"/>
      <c r="P100" s="125"/>
    </row>
    <row r="101" spans="2:16">
      <c r="B101" s="135"/>
      <c r="C101" s="189" t="s">
        <v>224</v>
      </c>
      <c r="D101" s="189" t="s">
        <v>7</v>
      </c>
      <c r="E101" s="189" t="b">
        <v>0</v>
      </c>
      <c r="F101" s="189" t="s">
        <v>12</v>
      </c>
      <c r="G101" s="189" t="s">
        <v>9</v>
      </c>
      <c r="H101" s="46" t="str">
        <f>C101&amp;"|"&amp;D101&amp;"|"&amp;E101&amp;"|"&amp;F101&amp;"|"&amp;G101</f>
        <v>Wensum|Cereals|FALSE|700to900|FreeDrain</v>
      </c>
      <c r="I101" s="132">
        <v>0.15077281689068139</v>
      </c>
      <c r="J101" s="50">
        <v>31.612518411690296</v>
      </c>
      <c r="K101" s="36" t="str">
        <f>D101&amp;"|"&amp;F101</f>
        <v>Cereals|700to900</v>
      </c>
      <c r="L101" s="47">
        <f>AVERAGE(I101,I103,I105,I177,I178,I179,I225,I226,I227,I273,I275,I277,I361,I363,I365)</f>
        <v>0.88287501130274237</v>
      </c>
      <c r="M101" s="132">
        <f>AVERAGE(J101,J103,J105,J177,J178,J179,J225,J226,J227,J273,J275,J277,J361,J363,J365)</f>
        <v>35.908833681747339</v>
      </c>
      <c r="N101" s="50"/>
      <c r="O101" s="47"/>
      <c r="P101" s="125"/>
    </row>
    <row r="102" spans="2:16">
      <c r="B102" s="135"/>
      <c r="C102" s="189" t="s">
        <v>224</v>
      </c>
      <c r="D102" s="189" t="s">
        <v>7</v>
      </c>
      <c r="E102" s="189" t="b">
        <v>1</v>
      </c>
      <c r="F102" s="189" t="s">
        <v>12</v>
      </c>
      <c r="G102" s="189" t="s">
        <v>9</v>
      </c>
      <c r="H102" s="46" t="str">
        <f>C102&amp;"|"&amp;D102&amp;"|"&amp;E102&amp;"|"&amp;F102&amp;"|"&amp;G102</f>
        <v>Wensum|Cereals|TRUE|700to900|FreeDrain</v>
      </c>
      <c r="I102" s="132">
        <v>0.15076495916421234</v>
      </c>
      <c r="J102" s="50">
        <v>31.523271634524313</v>
      </c>
      <c r="K102" s="36" t="str">
        <f>D102&amp;"|"&amp;F102</f>
        <v>Cereals|700to900</v>
      </c>
      <c r="L102" s="47"/>
      <c r="M102" s="132"/>
      <c r="N102" s="50"/>
      <c r="O102" s="47"/>
      <c r="P102" s="125"/>
    </row>
    <row r="103" spans="2:16">
      <c r="B103" s="135"/>
      <c r="C103" s="189" t="s">
        <v>224</v>
      </c>
      <c r="D103" s="189" t="s">
        <v>7</v>
      </c>
      <c r="E103" s="189" t="b">
        <v>0</v>
      </c>
      <c r="F103" s="189" t="s">
        <v>12</v>
      </c>
      <c r="G103" s="189" t="s">
        <v>10</v>
      </c>
      <c r="H103" s="46" t="str">
        <f>C103&amp;"|"&amp;D103&amp;"|"&amp;E103&amp;"|"&amp;F103&amp;"|"&amp;G103</f>
        <v>Wensum|Cereals|FALSE|700to900|DrainedAr</v>
      </c>
      <c r="I103" s="132">
        <v>0.730687815926297</v>
      </c>
      <c r="J103" s="50">
        <v>23.816969245584708</v>
      </c>
      <c r="K103" s="36" t="str">
        <f>D103&amp;"|"&amp;F103</f>
        <v>Cereals|700to900</v>
      </c>
      <c r="L103" s="47"/>
      <c r="M103" s="132"/>
      <c r="N103" s="50"/>
      <c r="O103" s="47"/>
      <c r="P103" s="125"/>
    </row>
    <row r="104" spans="2:16">
      <c r="B104" s="135"/>
      <c r="C104" s="189" t="s">
        <v>224</v>
      </c>
      <c r="D104" s="189" t="s">
        <v>7</v>
      </c>
      <c r="E104" s="189" t="b">
        <v>1</v>
      </c>
      <c r="F104" s="189" t="s">
        <v>12</v>
      </c>
      <c r="G104" s="189" t="s">
        <v>10</v>
      </c>
      <c r="H104" s="46" t="str">
        <f>C104&amp;"|"&amp;D104&amp;"|"&amp;E104&amp;"|"&amp;F104&amp;"|"&amp;G104</f>
        <v>Wensum|Cereals|TRUE|700to900|DrainedAr</v>
      </c>
      <c r="I104" s="132">
        <v>0.73064001773825338</v>
      </c>
      <c r="J104" s="50">
        <v>23.754911298593985</v>
      </c>
      <c r="K104" s="36" t="str">
        <f>D104&amp;"|"&amp;F104</f>
        <v>Cereals|700to900</v>
      </c>
      <c r="L104" s="47"/>
      <c r="M104" s="132"/>
      <c r="N104" s="50"/>
      <c r="O104" s="47"/>
      <c r="P104" s="125"/>
    </row>
    <row r="105" spans="2:16">
      <c r="B105" s="135"/>
      <c r="C105" s="189" t="s">
        <v>224</v>
      </c>
      <c r="D105" s="189" t="s">
        <v>7</v>
      </c>
      <c r="E105" s="189" t="b">
        <v>0</v>
      </c>
      <c r="F105" s="189" t="s">
        <v>12</v>
      </c>
      <c r="G105" s="189" t="s">
        <v>11</v>
      </c>
      <c r="H105" s="46" t="str">
        <f>C105&amp;"|"&amp;D105&amp;"|"&amp;E105&amp;"|"&amp;F105&amp;"|"&amp;G105</f>
        <v>Wensum|Cereals|FALSE|700to900|DrainedArGr</v>
      </c>
      <c r="I105" s="132">
        <v>0.98229484235728526</v>
      </c>
      <c r="J105" s="50">
        <v>22.02566705166738</v>
      </c>
      <c r="K105" s="36" t="str">
        <f>D105&amp;"|"&amp;F105</f>
        <v>Cereals|700to900</v>
      </c>
      <c r="L105" s="47"/>
      <c r="M105" s="132"/>
      <c r="N105" s="50"/>
      <c r="O105" s="47"/>
      <c r="P105" s="125"/>
    </row>
    <row r="106" spans="2:16">
      <c r="B106" s="135"/>
      <c r="C106" s="189" t="s">
        <v>224</v>
      </c>
      <c r="D106" s="189" t="s">
        <v>7</v>
      </c>
      <c r="E106" s="189" t="b">
        <v>1</v>
      </c>
      <c r="F106" s="189" t="s">
        <v>12</v>
      </c>
      <c r="G106" s="189" t="s">
        <v>11</v>
      </c>
      <c r="H106" s="46" t="str">
        <f>C106&amp;"|"&amp;D106&amp;"|"&amp;E106&amp;"|"&amp;F106&amp;"|"&amp;G106</f>
        <v>Wensum|Cereals|TRUE|700to900|DrainedArGr</v>
      </c>
      <c r="I106" s="132">
        <v>0.98220460676685017</v>
      </c>
      <c r="J106" s="50">
        <v>21.974257105626293</v>
      </c>
      <c r="K106" s="36" t="str">
        <f>D106&amp;"|"&amp;F106</f>
        <v>Cereals|700to900</v>
      </c>
      <c r="L106" s="47"/>
      <c r="M106" s="132"/>
      <c r="N106" s="50"/>
      <c r="O106" s="47"/>
      <c r="P106" s="125"/>
    </row>
    <row r="107" spans="2:16">
      <c r="B107" s="135"/>
      <c r="C107" s="189" t="s">
        <v>224</v>
      </c>
      <c r="D107" s="189" t="s">
        <v>25</v>
      </c>
      <c r="E107" s="189" t="b">
        <v>0</v>
      </c>
      <c r="F107" s="189" t="s">
        <v>8</v>
      </c>
      <c r="G107" s="189" t="s">
        <v>9</v>
      </c>
      <c r="H107" s="46" t="str">
        <f>C107&amp;"|"&amp;D107&amp;"|"&amp;E107&amp;"|"&amp;F107&amp;"|"&amp;G107</f>
        <v>Wensum|General|FALSE|600to700|FreeDrain</v>
      </c>
      <c r="I107" s="132">
        <v>0.049750480326866631</v>
      </c>
      <c r="J107" s="50">
        <v>25.346157052860455</v>
      </c>
      <c r="K107" s="36" t="str">
        <f>D107&amp;"|"&amp;F107</f>
        <v>General|600to700</v>
      </c>
      <c r="L107" s="47">
        <f>AVERAGE(I107,I109,I111,I171,I173,I229,I231,I280,I282,I284,I368,I370,I372)</f>
        <v>0.28206719006731051</v>
      </c>
      <c r="M107" s="132">
        <f>AVERAGE(J107,J109,J111,J171,J173,J229,J231,J280,J282,J284,J368,J370,J372)</f>
        <v>23.454933111107422</v>
      </c>
      <c r="N107" s="50">
        <f>AVERAGE(I107:I117,I180:I187,I229:I236,I280:I292,I368:I380,)</f>
        <v>0.45344460962485733</v>
      </c>
      <c r="O107" s="47">
        <f>AVERAGE(J107:J117,J180:J187,J229:J236,J280:J292,J368:J380,)</f>
        <v>25.028973007903257</v>
      </c>
      <c r="P107" s="125"/>
    </row>
    <row r="108" spans="2:16">
      <c r="B108" s="135"/>
      <c r="C108" s="189" t="s">
        <v>224</v>
      </c>
      <c r="D108" s="189" t="s">
        <v>25</v>
      </c>
      <c r="E108" s="189" t="b">
        <v>1</v>
      </c>
      <c r="F108" s="189" t="s">
        <v>8</v>
      </c>
      <c r="G108" s="189" t="s">
        <v>9</v>
      </c>
      <c r="H108" s="46" t="str">
        <f>C108&amp;"|"&amp;D108&amp;"|"&amp;E108&amp;"|"&amp;F108&amp;"|"&amp;G108</f>
        <v>Wensum|General|TRUE|600to700|FreeDrain</v>
      </c>
      <c r="I108" s="132">
        <v>0.049750480326866631</v>
      </c>
      <c r="J108" s="50">
        <v>25.282454997506896</v>
      </c>
      <c r="K108" s="36" t="str">
        <f>D108&amp;"|"&amp;F108</f>
        <v>General|600to700</v>
      </c>
      <c r="L108" s="47"/>
      <c r="M108" s="132"/>
      <c r="N108" s="50"/>
      <c r="O108" s="47"/>
      <c r="P108" s="125"/>
    </row>
    <row r="109" spans="2:16">
      <c r="B109" s="135"/>
      <c r="C109" s="189" t="s">
        <v>224</v>
      </c>
      <c r="D109" s="189" t="s">
        <v>25</v>
      </c>
      <c r="E109" s="189" t="b">
        <v>0</v>
      </c>
      <c r="F109" s="189" t="s">
        <v>8</v>
      </c>
      <c r="G109" s="189" t="s">
        <v>10</v>
      </c>
      <c r="H109" s="46" t="str">
        <f>C109&amp;"|"&amp;D109&amp;"|"&amp;E109&amp;"|"&amp;F109&amp;"|"&amp;G109</f>
        <v>Wensum|General|FALSE|600to700|DrainedAr</v>
      </c>
      <c r="I109" s="132">
        <v>0.30983394285335975</v>
      </c>
      <c r="J109" s="50">
        <v>17.6659462324776</v>
      </c>
      <c r="K109" s="36" t="str">
        <f>D109&amp;"|"&amp;F109</f>
        <v>General|600to700</v>
      </c>
      <c r="L109" s="47"/>
      <c r="M109" s="132"/>
      <c r="N109" s="50"/>
      <c r="O109" s="47"/>
      <c r="P109" s="125"/>
    </row>
    <row r="110" spans="2:16">
      <c r="B110" s="135"/>
      <c r="C110" s="189" t="s">
        <v>224</v>
      </c>
      <c r="D110" s="189" t="s">
        <v>25</v>
      </c>
      <c r="E110" s="189" t="b">
        <v>1</v>
      </c>
      <c r="F110" s="189" t="s">
        <v>8</v>
      </c>
      <c r="G110" s="189" t="s">
        <v>10</v>
      </c>
      <c r="H110" s="46" t="str">
        <f>C110&amp;"|"&amp;D110&amp;"|"&amp;E110&amp;"|"&amp;F110&amp;"|"&amp;G110</f>
        <v>Wensum|General|TRUE|600to700|DrainedAr</v>
      </c>
      <c r="I110" s="132">
        <v>0.30983394285335975</v>
      </c>
      <c r="J110" s="50">
        <v>17.624975866545448</v>
      </c>
      <c r="K110" s="36" t="str">
        <f>D110&amp;"|"&amp;F110</f>
        <v>General|600to700</v>
      </c>
      <c r="L110" s="47"/>
      <c r="M110" s="132"/>
      <c r="N110" s="50"/>
      <c r="O110" s="47"/>
      <c r="P110" s="125"/>
    </row>
    <row r="111" spans="2:16">
      <c r="B111" s="135"/>
      <c r="C111" s="189" t="s">
        <v>224</v>
      </c>
      <c r="D111" s="189" t="s">
        <v>25</v>
      </c>
      <c r="E111" s="189" t="b">
        <v>1</v>
      </c>
      <c r="F111" s="189" t="s">
        <v>8</v>
      </c>
      <c r="G111" s="189" t="s">
        <v>11</v>
      </c>
      <c r="H111" s="46" t="str">
        <f>C111&amp;"|"&amp;D111&amp;"|"&amp;E111&amp;"|"&amp;F111&amp;"|"&amp;G111</f>
        <v>Wensum|General|TRUE|600to700|DrainedArGr</v>
      </c>
      <c r="I111" s="132">
        <v>0.52670839605371089</v>
      </c>
      <c r="J111" s="50">
        <v>18.22528381440436</v>
      </c>
      <c r="K111" s="36" t="str">
        <f>D111&amp;"|"&amp;F111</f>
        <v>General|600to700</v>
      </c>
      <c r="L111" s="47"/>
      <c r="M111" s="132"/>
      <c r="N111" s="50"/>
      <c r="O111" s="47"/>
      <c r="P111" s="125"/>
    </row>
    <row r="112" spans="2:16">
      <c r="B112" s="135"/>
      <c r="C112" s="189" t="s">
        <v>224</v>
      </c>
      <c r="D112" s="189" t="s">
        <v>25</v>
      </c>
      <c r="E112" s="189" t="b">
        <v>0</v>
      </c>
      <c r="F112" s="189" t="s">
        <v>12</v>
      </c>
      <c r="G112" s="189" t="s">
        <v>9</v>
      </c>
      <c r="H112" s="46" t="str">
        <f>C112&amp;"|"&amp;D112&amp;"|"&amp;E112&amp;"|"&amp;F112&amp;"|"&amp;G112</f>
        <v>Wensum|General|FALSE|700to900|FreeDrain</v>
      </c>
      <c r="I112" s="132">
        <v>0.134776641075538</v>
      </c>
      <c r="J112" s="50">
        <v>30.045081620467091</v>
      </c>
      <c r="K112" s="36" t="str">
        <f>D112&amp;"|"&amp;F112</f>
        <v>General|700to900</v>
      </c>
      <c r="L112" s="47">
        <f>AVERAGE(I112,I114,I116,I186:I187,I233:I235,I286,I288,I290,I374,I376,I378)</f>
        <v>0.62141212489703246</v>
      </c>
      <c r="M112" s="132">
        <f>AVERAGE(J112,J114,J116,J186:J187,J233:J235,J286,J288,J290,J374,J376,J378)</f>
        <v>26.190047432446104</v>
      </c>
      <c r="N112" s="50"/>
      <c r="O112" s="47"/>
      <c r="P112" s="125"/>
    </row>
    <row r="113" spans="2:16">
      <c r="B113" s="135"/>
      <c r="C113" s="189" t="s">
        <v>224</v>
      </c>
      <c r="D113" s="189" t="s">
        <v>25</v>
      </c>
      <c r="E113" s="189" t="b">
        <v>1</v>
      </c>
      <c r="F113" s="189" t="s">
        <v>12</v>
      </c>
      <c r="G113" s="189" t="s">
        <v>9</v>
      </c>
      <c r="H113" s="46" t="str">
        <f>C113&amp;"|"&amp;D113&amp;"|"&amp;E113&amp;"|"&amp;F113&amp;"|"&amp;G113</f>
        <v>Wensum|General|TRUE|700to900|FreeDrain</v>
      </c>
      <c r="I113" s="132">
        <v>0.134776641075538</v>
      </c>
      <c r="J113" s="50">
        <v>29.9701563856668</v>
      </c>
      <c r="K113" s="36" t="str">
        <f>D113&amp;"|"&amp;F113</f>
        <v>General|700to900</v>
      </c>
      <c r="L113" s="47"/>
      <c r="M113" s="132"/>
      <c r="N113" s="50"/>
      <c r="O113" s="47"/>
      <c r="P113" s="125"/>
    </row>
    <row r="114" spans="2:16">
      <c r="B114" s="135"/>
      <c r="C114" s="189" t="s">
        <v>224</v>
      </c>
      <c r="D114" s="189" t="s">
        <v>25</v>
      </c>
      <c r="E114" s="189" t="b">
        <v>0</v>
      </c>
      <c r="F114" s="189" t="s">
        <v>12</v>
      </c>
      <c r="G114" s="189" t="s">
        <v>10</v>
      </c>
      <c r="H114" s="46" t="str">
        <f>C114&amp;"|"&amp;D114&amp;"|"&amp;E114&amp;"|"&amp;F114&amp;"|"&amp;G114</f>
        <v>Wensum|General|FALSE|700to900|DrainedAr</v>
      </c>
      <c r="I114" s="132">
        <v>0.64354905523717454</v>
      </c>
      <c r="J114" s="50">
        <v>21.772143493134024</v>
      </c>
      <c r="K114" s="36" t="str">
        <f>D114&amp;"|"&amp;F114</f>
        <v>General|700to900</v>
      </c>
      <c r="L114" s="47"/>
      <c r="M114" s="132"/>
      <c r="N114" s="50"/>
      <c r="O114" s="47"/>
      <c r="P114" s="125"/>
    </row>
    <row r="115" spans="2:16">
      <c r="B115" s="135"/>
      <c r="C115" s="189" t="s">
        <v>224</v>
      </c>
      <c r="D115" s="189" t="s">
        <v>25</v>
      </c>
      <c r="E115" s="189" t="b">
        <v>1</v>
      </c>
      <c r="F115" s="189" t="s">
        <v>12</v>
      </c>
      <c r="G115" s="189" t="s">
        <v>10</v>
      </c>
      <c r="H115" s="46" t="str">
        <f>C115&amp;"|"&amp;D115&amp;"|"&amp;E115&amp;"|"&amp;F115&amp;"|"&amp;G115</f>
        <v>Wensum|General|TRUE|700to900|DrainedAr</v>
      </c>
      <c r="I115" s="132">
        <v>0.64354905523717454</v>
      </c>
      <c r="J115" s="50">
        <v>21.722702548670917</v>
      </c>
      <c r="K115" s="36" t="str">
        <f>D115&amp;"|"&amp;F115</f>
        <v>General|700to900</v>
      </c>
      <c r="L115" s="47"/>
      <c r="M115" s="132"/>
      <c r="N115" s="50"/>
      <c r="O115" s="47"/>
      <c r="P115" s="125"/>
    </row>
    <row r="116" spans="2:16">
      <c r="B116" s="135"/>
      <c r="C116" s="189" t="s">
        <v>224</v>
      </c>
      <c r="D116" s="189" t="s">
        <v>25</v>
      </c>
      <c r="E116" s="189" t="b">
        <v>0</v>
      </c>
      <c r="F116" s="189" t="s">
        <v>12</v>
      </c>
      <c r="G116" s="189" t="s">
        <v>11</v>
      </c>
      <c r="H116" s="46" t="str">
        <f>C116&amp;"|"&amp;D116&amp;"|"&amp;E116&amp;"|"&amp;F116&amp;"|"&amp;G116</f>
        <v>Wensum|General|FALSE|700to900|DrainedArGr</v>
      </c>
      <c r="I116" s="132">
        <v>0.89891155482612617</v>
      </c>
      <c r="J116" s="50">
        <v>19.517304673027276</v>
      </c>
      <c r="K116" s="36" t="str">
        <f>D116&amp;"|"&amp;F116</f>
        <v>General|700to900</v>
      </c>
      <c r="L116" s="47"/>
      <c r="M116" s="132"/>
      <c r="N116" s="50"/>
      <c r="O116" s="47"/>
      <c r="P116" s="125"/>
    </row>
    <row r="117" spans="2:16">
      <c r="B117" s="135"/>
      <c r="C117" s="189" t="s">
        <v>224</v>
      </c>
      <c r="D117" s="189" t="s">
        <v>25</v>
      </c>
      <c r="E117" s="189" t="b">
        <v>1</v>
      </c>
      <c r="F117" s="189" t="s">
        <v>12</v>
      </c>
      <c r="G117" s="189" t="s">
        <v>11</v>
      </c>
      <c r="H117" s="46" t="str">
        <f>C117&amp;"|"&amp;D117&amp;"|"&amp;E117&amp;"|"&amp;F117&amp;"|"&amp;G117</f>
        <v>Wensum|General|TRUE|700to900|DrainedArGr</v>
      </c>
      <c r="I117" s="132">
        <v>0.89891155482612617</v>
      </c>
      <c r="J117" s="50">
        <v>19.477743488009551</v>
      </c>
      <c r="K117" s="36" t="str">
        <f>D117&amp;"|"&amp;F117</f>
        <v>General|700to900</v>
      </c>
      <c r="L117" s="47"/>
      <c r="M117" s="132"/>
      <c r="N117" s="50"/>
      <c r="O117" s="47"/>
      <c r="P117" s="125"/>
    </row>
    <row r="118" spans="2:16">
      <c r="B118" s="135"/>
      <c r="C118" s="189" t="s">
        <v>224</v>
      </c>
      <c r="D118" s="189" t="s">
        <v>32</v>
      </c>
      <c r="E118" s="189" t="b">
        <v>0</v>
      </c>
      <c r="F118" s="189" t="s">
        <v>8</v>
      </c>
      <c r="G118" s="189" t="s">
        <v>9</v>
      </c>
      <c r="H118" s="46" t="str">
        <f>C118&amp;"|"&amp;D118&amp;"|"&amp;E118&amp;"|"&amp;F118&amp;"|"&amp;G118</f>
        <v>Wensum|Horticulture|FALSE|600to700|FreeDrain</v>
      </c>
      <c r="I118" s="132">
        <v>0.050748597871126608</v>
      </c>
      <c r="J118" s="50">
        <v>22.392004281670363</v>
      </c>
      <c r="K118" s="36" t="str">
        <f>D118&amp;"|"&amp;F118</f>
        <v>Horticulture|600to700</v>
      </c>
      <c r="L118" s="47">
        <f>AVERAGE(I118,I119,I188:I190,I237,I239,I294,I296,I298,I382,I384,I386)</f>
        <v>0.24019988586162175</v>
      </c>
      <c r="M118" s="132">
        <f>AVERAGE(J118,J119,J188:J190,J237,J239,J294,J296,J298,J382,J384,J386)</f>
        <v>16.718923384149356</v>
      </c>
      <c r="N118" s="50">
        <f>AVERAGE(I118:I123,I188:I192,I237:I242,I293:I303,I381:I391)</f>
        <v>0.38042819378088821</v>
      </c>
      <c r="O118" s="47">
        <f>AVERAGE(J118:J123,J188:J192,J237:J242,J293:J303,J381:J391)</f>
        <v>16.986656015517418</v>
      </c>
      <c r="P118" s="125"/>
    </row>
    <row r="119" spans="2:16">
      <c r="B119" s="135"/>
      <c r="C119" s="189" t="s">
        <v>224</v>
      </c>
      <c r="D119" s="189" t="s">
        <v>32</v>
      </c>
      <c r="E119" s="189" t="b">
        <v>0</v>
      </c>
      <c r="F119" s="189" t="s">
        <v>8</v>
      </c>
      <c r="G119" s="189" t="s">
        <v>10</v>
      </c>
      <c r="H119" s="46" t="str">
        <f>C119&amp;"|"&amp;D119&amp;"|"&amp;E119&amp;"|"&amp;F119&amp;"|"&amp;G119</f>
        <v>Wensum|Horticulture|FALSE|600to700|DrainedAr</v>
      </c>
      <c r="I119" s="132">
        <v>0.33287980421812863</v>
      </c>
      <c r="J119" s="50">
        <v>15.520661628195063</v>
      </c>
      <c r="K119" s="36" t="str">
        <f>D119&amp;"|"&amp;F119</f>
        <v>Horticulture|600to700</v>
      </c>
      <c r="L119" s="47"/>
      <c r="M119" s="132"/>
      <c r="N119" s="50"/>
      <c r="O119" s="47"/>
      <c r="P119" s="125"/>
    </row>
    <row r="120" spans="2:16">
      <c r="B120" s="135"/>
      <c r="C120" s="189" t="s">
        <v>224</v>
      </c>
      <c r="D120" s="189" t="s">
        <v>32</v>
      </c>
      <c r="E120" s="189" t="b">
        <v>1</v>
      </c>
      <c r="F120" s="189" t="s">
        <v>8</v>
      </c>
      <c r="G120" s="189" t="s">
        <v>10</v>
      </c>
      <c r="H120" s="46" t="str">
        <f>C120&amp;"|"&amp;D120&amp;"|"&amp;E120&amp;"|"&amp;F120&amp;"|"&amp;G120</f>
        <v>Wensum|Horticulture|TRUE|600to700|DrainedAr</v>
      </c>
      <c r="I120" s="132">
        <v>0.33287980421812863</v>
      </c>
      <c r="J120" s="50">
        <v>15.485008511860027</v>
      </c>
      <c r="K120" s="36" t="str">
        <f>D120&amp;"|"&amp;F120</f>
        <v>Horticulture|600to700</v>
      </c>
      <c r="L120" s="47"/>
      <c r="M120" s="132"/>
      <c r="N120" s="50"/>
      <c r="O120" s="47"/>
      <c r="P120" s="125"/>
    </row>
    <row r="121" spans="2:16">
      <c r="B121" s="135"/>
      <c r="C121" s="189" t="s">
        <v>224</v>
      </c>
      <c r="D121" s="189" t="s">
        <v>32</v>
      </c>
      <c r="E121" s="189" t="b">
        <v>1</v>
      </c>
      <c r="F121" s="189" t="s">
        <v>12</v>
      </c>
      <c r="G121" s="189" t="s">
        <v>9</v>
      </c>
      <c r="H121" s="46" t="str">
        <f>C121&amp;"|"&amp;D121&amp;"|"&amp;E121&amp;"|"&amp;F121&amp;"|"&amp;G121</f>
        <v>Wensum|Horticulture|TRUE|700to900|FreeDrain</v>
      </c>
      <c r="I121" s="132">
        <v>0.14239662707390396</v>
      </c>
      <c r="J121" s="50">
        <v>26.415249784413245</v>
      </c>
      <c r="K121" s="36" t="str">
        <f>D121&amp;"|"&amp;F121</f>
        <v>Horticulture|700to900</v>
      </c>
      <c r="L121" s="47">
        <f>AVERAGE(I121:I123,I192,I241,I242,I299:I300,I302,I387,I389,I390)</f>
        <v>0.53448044507006764</v>
      </c>
      <c r="M121" s="132">
        <f>AVERAGE(J121:J123,J192,J241,J242,J299:J300,J302,J387,J389,J390)</f>
        <v>19.002789261511435</v>
      </c>
      <c r="N121" s="50"/>
      <c r="O121" s="47"/>
      <c r="P121" s="125"/>
    </row>
    <row r="122" spans="2:16">
      <c r="B122" s="135"/>
      <c r="C122" s="189" t="s">
        <v>224</v>
      </c>
      <c r="D122" s="189" t="s">
        <v>32</v>
      </c>
      <c r="E122" s="189" t="b">
        <v>0</v>
      </c>
      <c r="F122" s="189" t="s">
        <v>12</v>
      </c>
      <c r="G122" s="189" t="s">
        <v>10</v>
      </c>
      <c r="H122" s="46" t="str">
        <f>C122&amp;"|"&amp;D122&amp;"|"&amp;E122&amp;"|"&amp;F122&amp;"|"&amp;G122</f>
        <v>Wensum|Horticulture|FALSE|700to900|DrainedAr</v>
      </c>
      <c r="I122" s="132">
        <v>0.70314001550724237</v>
      </c>
      <c r="J122" s="50">
        <v>19.092637414358691</v>
      </c>
      <c r="K122" s="36" t="str">
        <f>D122&amp;"|"&amp;F122</f>
        <v>Horticulture|700to900</v>
      </c>
      <c r="L122" s="47"/>
      <c r="M122" s="132"/>
      <c r="N122" s="50"/>
      <c r="O122" s="47"/>
      <c r="P122" s="125"/>
    </row>
    <row r="123" spans="2:16">
      <c r="B123" s="135"/>
      <c r="C123" s="189" t="s">
        <v>224</v>
      </c>
      <c r="D123" s="189" t="s">
        <v>32</v>
      </c>
      <c r="E123" s="189" t="b">
        <v>0</v>
      </c>
      <c r="F123" s="189" t="s">
        <v>12</v>
      </c>
      <c r="G123" s="189" t="s">
        <v>11</v>
      </c>
      <c r="H123" s="46" t="str">
        <f>C123&amp;"|"&amp;D123&amp;"|"&amp;E123&amp;"|"&amp;F123&amp;"|"&amp;G123</f>
        <v>Wensum|Horticulture|FALSE|700to900|DrainedArGr</v>
      </c>
      <c r="I123" s="132">
        <v>0.96947898886490191</v>
      </c>
      <c r="J123" s="50">
        <v>17.024538237103176</v>
      </c>
      <c r="K123" s="36" t="str">
        <f>D123&amp;"|"&amp;F123</f>
        <v>Horticulture|700to900</v>
      </c>
      <c r="L123" s="47"/>
      <c r="M123" s="132"/>
      <c r="N123" s="50"/>
      <c r="O123" s="47"/>
      <c r="P123" s="125"/>
    </row>
    <row r="124" spans="2:16">
      <c r="B124" s="135"/>
      <c r="C124" s="189" t="s">
        <v>224</v>
      </c>
      <c r="D124" s="189" t="s">
        <v>42</v>
      </c>
      <c r="E124" s="189" t="b">
        <v>0</v>
      </c>
      <c r="F124" s="189" t="s">
        <v>8</v>
      </c>
      <c r="G124" s="189" t="s">
        <v>9</v>
      </c>
      <c r="H124" s="46" t="str">
        <f>C124&amp;"|"&amp;D124&amp;"|"&amp;E124&amp;"|"&amp;F124&amp;"|"&amp;G124</f>
        <v>Wensum|Pig|FALSE|600to700|FreeDrain</v>
      </c>
      <c r="I124" s="132">
        <v>0.07064427928326375</v>
      </c>
      <c r="J124" s="50">
        <v>93.252993503644717</v>
      </c>
      <c r="K124" s="36" t="str">
        <f>D124&amp;"|"&amp;F124</f>
        <v>Pig|600to700</v>
      </c>
      <c r="L124" s="47">
        <f>AVERAGE(I124,I126:I127,I128,I193:I197,I243,I245,I304:I309,I392:I397)</f>
        <v>0.40885720672434644</v>
      </c>
      <c r="M124" s="132">
        <f>AVERAGE(J124,J126:J127,J128,J193:J197,J243,J245,J304:J309,J392:J397)</f>
        <v>93.461988882610882</v>
      </c>
      <c r="N124" s="50">
        <f>AVERAGE(I124:I133,I193:I198,I243:I246,I304:I314,I392:I402)</f>
        <v>0.57493389226480929</v>
      </c>
      <c r="O124" s="47">
        <f>AVERAGE(J124:J133,J193:J198,J243:J246,J304:J314,J392:J402)</f>
        <v>98.397710972078926</v>
      </c>
      <c r="P124" s="125"/>
    </row>
    <row r="125" spans="2:16">
      <c r="B125" s="135"/>
      <c r="C125" s="189" t="s">
        <v>224</v>
      </c>
      <c r="D125" s="189" t="s">
        <v>42</v>
      </c>
      <c r="E125" s="189" t="b">
        <v>1</v>
      </c>
      <c r="F125" s="189" t="s">
        <v>8</v>
      </c>
      <c r="G125" s="189" t="s">
        <v>9</v>
      </c>
      <c r="H125" s="46" t="str">
        <f>C125&amp;"|"&amp;D125&amp;"|"&amp;E125&amp;"|"&amp;F125&amp;"|"&amp;G125</f>
        <v>Wensum|Pig|TRUE|600to700|FreeDrain</v>
      </c>
      <c r="I125" s="132">
        <v>0.067911430378150575</v>
      </c>
      <c r="J125" s="50">
        <v>93.5677856626729</v>
      </c>
      <c r="K125" s="36" t="str">
        <f>D125&amp;"|"&amp;F125</f>
        <v>Pig|600to700</v>
      </c>
      <c r="L125" s="47"/>
      <c r="M125" s="132"/>
      <c r="N125" s="50"/>
      <c r="O125" s="47"/>
      <c r="P125" s="125"/>
    </row>
    <row r="126" spans="2:16">
      <c r="B126" s="135"/>
      <c r="C126" s="189" t="s">
        <v>224</v>
      </c>
      <c r="D126" s="189" t="s">
        <v>42</v>
      </c>
      <c r="E126" s="189" t="b">
        <v>0</v>
      </c>
      <c r="F126" s="189" t="s">
        <v>8</v>
      </c>
      <c r="G126" s="189" t="s">
        <v>10</v>
      </c>
      <c r="H126" s="46" t="str">
        <f>C126&amp;"|"&amp;D126&amp;"|"&amp;E126&amp;"|"&amp;F126&amp;"|"&amp;G126</f>
        <v>Wensum|Pig|FALSE|600to700|DrainedAr</v>
      </c>
      <c r="I126" s="132">
        <v>0.38257707704246624</v>
      </c>
      <c r="J126" s="50">
        <v>61.687411404088877</v>
      </c>
      <c r="K126" s="36" t="str">
        <f>D126&amp;"|"&amp;F126</f>
        <v>Pig|600to700</v>
      </c>
      <c r="L126" s="47"/>
      <c r="M126" s="132"/>
      <c r="N126" s="50"/>
      <c r="O126" s="47"/>
      <c r="P126" s="125"/>
    </row>
    <row r="127" spans="2:16">
      <c r="B127" s="135"/>
      <c r="C127" s="189" t="s">
        <v>224</v>
      </c>
      <c r="D127" s="189" t="s">
        <v>42</v>
      </c>
      <c r="E127" s="189" t="b">
        <v>1</v>
      </c>
      <c r="F127" s="189" t="s">
        <v>8</v>
      </c>
      <c r="G127" s="189" t="s">
        <v>10</v>
      </c>
      <c r="H127" s="46" t="str">
        <f>C127&amp;"|"&amp;D127&amp;"|"&amp;E127&amp;"|"&amp;F127&amp;"|"&amp;G127</f>
        <v>Wensum|Pig|TRUE|600to700|DrainedAr</v>
      </c>
      <c r="I127" s="132">
        <v>0.35283520887129288</v>
      </c>
      <c r="J127" s="50">
        <v>59.537322841270544</v>
      </c>
      <c r="K127" s="36" t="str">
        <f>D127&amp;"|"&amp;F127</f>
        <v>Pig|600to700</v>
      </c>
      <c r="L127" s="47"/>
      <c r="M127" s="132"/>
      <c r="N127" s="50"/>
      <c r="O127" s="47"/>
      <c r="P127" s="125"/>
    </row>
    <row r="128" spans="2:16">
      <c r="B128" s="135"/>
      <c r="C128" s="189" t="s">
        <v>224</v>
      </c>
      <c r="D128" s="189" t="s">
        <v>42</v>
      </c>
      <c r="E128" s="189" t="b">
        <v>1</v>
      </c>
      <c r="F128" s="189" t="s">
        <v>8</v>
      </c>
      <c r="G128" s="189" t="s">
        <v>11</v>
      </c>
      <c r="H128" s="46" t="str">
        <f>C128&amp;"|"&amp;D128&amp;"|"&amp;E128&amp;"|"&amp;F128&amp;"|"&amp;G128</f>
        <v>Wensum|Pig|TRUE|600to700|DrainedArGr</v>
      </c>
      <c r="I128" s="132">
        <v>0.58101161672745227</v>
      </c>
      <c r="J128" s="50">
        <v>56.344621380971887</v>
      </c>
      <c r="K128" s="36" t="str">
        <f>D128&amp;"|"&amp;F128</f>
        <v>Pig|600to700</v>
      </c>
      <c r="L128" s="47"/>
      <c r="M128" s="132"/>
      <c r="N128" s="50"/>
      <c r="O128" s="47"/>
      <c r="P128" s="125"/>
    </row>
    <row r="129" spans="2:16">
      <c r="B129" s="135"/>
      <c r="C129" s="189" t="s">
        <v>224</v>
      </c>
      <c r="D129" s="189" t="s">
        <v>42</v>
      </c>
      <c r="E129" s="189" t="b">
        <v>1</v>
      </c>
      <c r="F129" s="189" t="s">
        <v>12</v>
      </c>
      <c r="G129" s="189" t="s">
        <v>9</v>
      </c>
      <c r="H129" s="46" t="str">
        <f>C129&amp;"|"&amp;D129&amp;"|"&amp;E129&amp;"|"&amp;F129&amp;"|"&amp;G129</f>
        <v>Wensum|Pig|TRUE|700to900|FreeDrain</v>
      </c>
      <c r="I129" s="132">
        <v>0.17227610260462156</v>
      </c>
      <c r="J129" s="50">
        <v>109.91088516598225</v>
      </c>
      <c r="K129" s="36" t="str">
        <f>D129&amp;"|"&amp;F129</f>
        <v>Pig|700to900</v>
      </c>
      <c r="L129" s="47">
        <f>AVERAGE(I129:I133,I198,I246,I310:I314,I398:I402)</f>
        <v>0.85857729394975546</v>
      </c>
      <c r="M129" s="132">
        <f>AVERAGE(J129:J133,J198,J246,J310:J314,J398:J402)</f>
        <v>105.86522836809499</v>
      </c>
      <c r="N129" s="50"/>
      <c r="O129" s="47"/>
      <c r="P129" s="125"/>
    </row>
    <row r="130" spans="2:16">
      <c r="B130" s="135"/>
      <c r="C130" s="189" t="s">
        <v>224</v>
      </c>
      <c r="D130" s="189" t="s">
        <v>42</v>
      </c>
      <c r="E130" s="189" t="b">
        <v>0</v>
      </c>
      <c r="F130" s="189" t="s">
        <v>12</v>
      </c>
      <c r="G130" s="189" t="s">
        <v>10</v>
      </c>
      <c r="H130" s="46" t="str">
        <f>C130&amp;"|"&amp;D130&amp;"|"&amp;E130&amp;"|"&amp;F130&amp;"|"&amp;G130</f>
        <v>Wensum|Pig|FALSE|700to900|DrainedAr</v>
      </c>
      <c r="I130" s="132">
        <v>0.7574147002080458</v>
      </c>
      <c r="J130" s="50">
        <v>75.972091196812642</v>
      </c>
      <c r="K130" s="36" t="str">
        <f>D130&amp;"|"&amp;F130</f>
        <v>Pig|700to900</v>
      </c>
      <c r="L130" s="47"/>
      <c r="M130" s="132"/>
      <c r="N130" s="50"/>
      <c r="O130" s="47"/>
      <c r="P130" s="125"/>
    </row>
    <row r="131" spans="2:16">
      <c r="B131" s="135"/>
      <c r="C131" s="189" t="s">
        <v>224</v>
      </c>
      <c r="D131" s="189" t="s">
        <v>42</v>
      </c>
      <c r="E131" s="189" t="b">
        <v>1</v>
      </c>
      <c r="F131" s="189" t="s">
        <v>12</v>
      </c>
      <c r="G131" s="189" t="s">
        <v>10</v>
      </c>
      <c r="H131" s="46" t="str">
        <f>C131&amp;"|"&amp;D131&amp;"|"&amp;E131&amp;"|"&amp;F131&amp;"|"&amp;G131</f>
        <v>Wensum|Pig|TRUE|700to900|DrainedAr</v>
      </c>
      <c r="I131" s="132">
        <v>0.722153451970582</v>
      </c>
      <c r="J131" s="50">
        <v>73.202596502508086</v>
      </c>
      <c r="K131" s="36" t="str">
        <f>D131&amp;"|"&amp;F131</f>
        <v>Pig|700to900</v>
      </c>
      <c r="L131" s="47"/>
      <c r="M131" s="132"/>
      <c r="N131" s="50"/>
      <c r="O131" s="47"/>
      <c r="P131" s="125"/>
    </row>
    <row r="132" spans="2:16">
      <c r="B132" s="135"/>
      <c r="C132" s="189" t="s">
        <v>224</v>
      </c>
      <c r="D132" s="189" t="s">
        <v>42</v>
      </c>
      <c r="E132" s="189" t="b">
        <v>0</v>
      </c>
      <c r="F132" s="189" t="s">
        <v>12</v>
      </c>
      <c r="G132" s="189" t="s">
        <v>11</v>
      </c>
      <c r="H132" s="46" t="str">
        <f>C132&amp;"|"&amp;D132&amp;"|"&amp;E132&amp;"|"&amp;F132&amp;"|"&amp;G132</f>
        <v>Wensum|Pig|FALSE|700to900|DrainedArGr</v>
      </c>
      <c r="I132" s="132">
        <v>1.046397190599256</v>
      </c>
      <c r="J132" s="50">
        <v>64.787899210846192</v>
      </c>
      <c r="K132" s="36" t="str">
        <f>D132&amp;"|"&amp;F132</f>
        <v>Pig|700to900</v>
      </c>
      <c r="L132" s="47"/>
      <c r="M132" s="132"/>
      <c r="N132" s="50"/>
      <c r="O132" s="47"/>
      <c r="P132" s="125"/>
    </row>
    <row r="133" spans="2:16">
      <c r="B133" s="135"/>
      <c r="C133" s="189" t="s">
        <v>224</v>
      </c>
      <c r="D133" s="189" t="s">
        <v>42</v>
      </c>
      <c r="E133" s="189" t="b">
        <v>1</v>
      </c>
      <c r="F133" s="189" t="s">
        <v>12</v>
      </c>
      <c r="G133" s="189" t="s">
        <v>11</v>
      </c>
      <c r="H133" s="46" t="str">
        <f>C133&amp;"|"&amp;D133&amp;"|"&amp;E133&amp;"|"&amp;F133&amp;"|"&amp;G133</f>
        <v>Wensum|Pig|TRUE|700to900|DrainedArGr</v>
      </c>
      <c r="I133" s="132">
        <v>0.996226569955024</v>
      </c>
      <c r="J133" s="50">
        <v>60.559902741550609</v>
      </c>
      <c r="K133" s="36" t="str">
        <f>D133&amp;"|"&amp;F133</f>
        <v>Pig|700to900</v>
      </c>
      <c r="L133" s="47"/>
      <c r="M133" s="132"/>
      <c r="N133" s="50"/>
      <c r="O133" s="47"/>
      <c r="P133" s="125"/>
    </row>
    <row r="134" spans="2:16">
      <c r="B134" s="135"/>
      <c r="C134" s="189" t="s">
        <v>224</v>
      </c>
      <c r="D134" s="189" t="s">
        <v>47</v>
      </c>
      <c r="E134" s="189" t="b">
        <v>0</v>
      </c>
      <c r="F134" s="189" t="s">
        <v>8</v>
      </c>
      <c r="G134" s="189" t="s">
        <v>9</v>
      </c>
      <c r="H134" s="46" t="str">
        <f>C134&amp;"|"&amp;D134&amp;"|"&amp;E134&amp;"|"&amp;F134&amp;"|"&amp;G134</f>
        <v>Wensum|Poultry|FALSE|600to700|FreeDrain</v>
      </c>
      <c r="I134" s="132">
        <v>0.12216169176557388</v>
      </c>
      <c r="J134" s="50">
        <v>231.58109057287646</v>
      </c>
      <c r="K134" s="36" t="str">
        <f>D134&amp;"|"&amp;F134</f>
        <v>Poultry|600to700</v>
      </c>
      <c r="L134" s="47">
        <f>AVERAGE(I134:I137,I199:I203,I247,I249,I250,I315:I320,I403,I405,I406:I408)</f>
        <v>0.42106062411389678</v>
      </c>
      <c r="M134" s="132">
        <f>AVERAGE(J134:J137,J199:J203,J247,J249,J250,J315:J320,J403,J405,J406:J408)</f>
        <v>170.54711664886554</v>
      </c>
      <c r="N134" s="50">
        <f>AVERAGE(I134:I142,I199:I204,I247:I252,I315:I325,I403:I413)</f>
        <v>0.57491243716073026</v>
      </c>
      <c r="O134" s="47">
        <f>AVERAGE(J134:J142,J199:J204,J247:J252,J315:J325,J403:J413)</f>
        <v>181.18970818532128</v>
      </c>
      <c r="P134" s="125"/>
    </row>
    <row r="135" spans="2:16">
      <c r="B135" s="135"/>
      <c r="C135" s="189" t="s">
        <v>224</v>
      </c>
      <c r="D135" s="189" t="s">
        <v>47</v>
      </c>
      <c r="E135" s="189" t="b">
        <v>0</v>
      </c>
      <c r="F135" s="189" t="s">
        <v>8</v>
      </c>
      <c r="G135" s="189" t="s">
        <v>10</v>
      </c>
      <c r="H135" s="46" t="str">
        <f>C135&amp;"|"&amp;D135&amp;"|"&amp;E135&amp;"|"&amp;F135&amp;"|"&amp;G135</f>
        <v>Wensum|Poultry|FALSE|600to700|DrainedAr</v>
      </c>
      <c r="I135" s="132">
        <v>0.37880577019208006</v>
      </c>
      <c r="J135" s="50">
        <v>149.95891198181062</v>
      </c>
      <c r="K135" s="36" t="str">
        <f>D135&amp;"|"&amp;F135</f>
        <v>Poultry|600to700</v>
      </c>
      <c r="L135" s="47"/>
      <c r="M135" s="132"/>
      <c r="N135" s="50"/>
      <c r="O135" s="47"/>
      <c r="P135" s="125"/>
    </row>
    <row r="136" spans="2:16">
      <c r="B136" s="135"/>
      <c r="C136" s="189" t="s">
        <v>224</v>
      </c>
      <c r="D136" s="189" t="s">
        <v>47</v>
      </c>
      <c r="E136" s="189" t="b">
        <v>1</v>
      </c>
      <c r="F136" s="189" t="s">
        <v>8</v>
      </c>
      <c r="G136" s="189" t="s">
        <v>10</v>
      </c>
      <c r="H136" s="46" t="str">
        <f>C136&amp;"|"&amp;D136&amp;"|"&amp;E136&amp;"|"&amp;F136&amp;"|"&amp;G136</f>
        <v>Wensum|Poultry|TRUE|600to700|DrainedAr</v>
      </c>
      <c r="I136" s="132">
        <v>0.349291688404415</v>
      </c>
      <c r="J136" s="50">
        <v>144.04394718804886</v>
      </c>
      <c r="K136" s="36" t="str">
        <f>D136&amp;"|"&amp;F136</f>
        <v>Poultry|600to700</v>
      </c>
      <c r="L136" s="47"/>
      <c r="M136" s="132"/>
      <c r="N136" s="50"/>
      <c r="O136" s="47"/>
      <c r="P136" s="125"/>
    </row>
    <row r="137" spans="2:16">
      <c r="B137" s="135"/>
      <c r="C137" s="189" t="s">
        <v>224</v>
      </c>
      <c r="D137" s="189" t="s">
        <v>47</v>
      </c>
      <c r="E137" s="189" t="b">
        <v>0</v>
      </c>
      <c r="F137" s="189" t="s">
        <v>8</v>
      </c>
      <c r="G137" s="189" t="s">
        <v>11</v>
      </c>
      <c r="H137" s="46" t="str">
        <f>C137&amp;"|"&amp;D137&amp;"|"&amp;E137&amp;"|"&amp;F137&amp;"|"&amp;G137</f>
        <v>Wensum|Poultry|FALSE|600to700|DrainedArGr</v>
      </c>
      <c r="I137" s="132">
        <v>0.68317297907728547</v>
      </c>
      <c r="J137" s="50">
        <v>140.47357058250989</v>
      </c>
      <c r="K137" s="36" t="str">
        <f>D137&amp;"|"&amp;F137</f>
        <v>Poultry|600to700</v>
      </c>
      <c r="L137" s="47"/>
      <c r="M137" s="132"/>
      <c r="N137" s="50"/>
      <c r="O137" s="47"/>
      <c r="P137" s="125"/>
    </row>
    <row r="138" spans="2:16">
      <c r="B138" s="135"/>
      <c r="C138" s="189" t="s">
        <v>224</v>
      </c>
      <c r="D138" s="189" t="s">
        <v>47</v>
      </c>
      <c r="E138" s="189" t="b">
        <v>1</v>
      </c>
      <c r="F138" s="189" t="s">
        <v>12</v>
      </c>
      <c r="G138" s="189" t="s">
        <v>9</v>
      </c>
      <c r="H138" s="46" t="str">
        <f>C138&amp;"|"&amp;D138&amp;"|"&amp;E138&amp;"|"&amp;F138&amp;"|"&amp;G138</f>
        <v>Wensum|Poultry|TRUE|700to900|FreeDrain</v>
      </c>
      <c r="I138" s="132">
        <v>0.25721384406977738</v>
      </c>
      <c r="J138" s="50">
        <v>273.56640090093578</v>
      </c>
      <c r="K138" s="36" t="str">
        <f>D138&amp;"|"&amp;F138</f>
        <v>Poultry|700to900</v>
      </c>
      <c r="L138" s="47">
        <f>AVERAGE(I138:I142,I204,I251:I252,I321:I325,I409:I413)</f>
        <v>0.81793020120120818</v>
      </c>
      <c r="M138" s="132">
        <f>AVERAGE(J138:J142,J204,J251:J252,J321:J325,J409:J413)</f>
        <v>189.68295344445667</v>
      </c>
      <c r="N138" s="50"/>
      <c r="O138" s="47"/>
      <c r="P138" s="125"/>
    </row>
    <row r="139" spans="2:16">
      <c r="B139" s="135"/>
      <c r="C139" s="189" t="s">
        <v>224</v>
      </c>
      <c r="D139" s="189" t="s">
        <v>47</v>
      </c>
      <c r="E139" s="189" t="b">
        <v>0</v>
      </c>
      <c r="F139" s="189" t="s">
        <v>12</v>
      </c>
      <c r="G139" s="189" t="s">
        <v>10</v>
      </c>
      <c r="H139" s="46" t="str">
        <f>C139&amp;"|"&amp;D139&amp;"|"&amp;E139&amp;"|"&amp;F139&amp;"|"&amp;G139</f>
        <v>Wensum|Poultry|FALSE|700to900|DrainedAr</v>
      </c>
      <c r="I139" s="132">
        <v>0.74490325030985227</v>
      </c>
      <c r="J139" s="50">
        <v>185.51820594069079</v>
      </c>
      <c r="K139" s="36" t="str">
        <f>D139&amp;"|"&amp;F139</f>
        <v>Poultry|700to900</v>
      </c>
      <c r="L139" s="47"/>
      <c r="M139" s="132"/>
      <c r="N139" s="50"/>
      <c r="O139" s="47"/>
      <c r="P139" s="125"/>
    </row>
    <row r="140" spans="2:16">
      <c r="B140" s="135"/>
      <c r="C140" s="189" t="s">
        <v>224</v>
      </c>
      <c r="D140" s="189" t="s">
        <v>47</v>
      </c>
      <c r="E140" s="189" t="b">
        <v>1</v>
      </c>
      <c r="F140" s="189" t="s">
        <v>12</v>
      </c>
      <c r="G140" s="189" t="s">
        <v>10</v>
      </c>
      <c r="H140" s="46" t="str">
        <f>C140&amp;"|"&amp;D140&amp;"|"&amp;E140&amp;"|"&amp;F140&amp;"|"&amp;G140</f>
        <v>Wensum|Poultry|TRUE|700to900|DrainedAr</v>
      </c>
      <c r="I140" s="132">
        <v>0.70182658275333065</v>
      </c>
      <c r="J140" s="50">
        <v>177.91768232694116</v>
      </c>
      <c r="K140" s="36" t="str">
        <f>D140&amp;"|"&amp;F140</f>
        <v>Poultry|700to900</v>
      </c>
      <c r="L140" s="47"/>
      <c r="M140" s="132"/>
      <c r="N140" s="50"/>
      <c r="O140" s="47"/>
      <c r="P140" s="125"/>
    </row>
    <row r="141" spans="2:16">
      <c r="B141" s="135"/>
      <c r="C141" s="189" t="s">
        <v>224</v>
      </c>
      <c r="D141" s="189" t="s">
        <v>47</v>
      </c>
      <c r="E141" s="189" t="b">
        <v>0</v>
      </c>
      <c r="F141" s="189" t="s">
        <v>12</v>
      </c>
      <c r="G141" s="189" t="s">
        <v>11</v>
      </c>
      <c r="H141" s="46" t="str">
        <f>C141&amp;"|"&amp;D141&amp;"|"&amp;E141&amp;"|"&amp;F141&amp;"|"&amp;G141</f>
        <v>Wensum|Poultry|FALSE|700to900|DrainedArGr</v>
      </c>
      <c r="I141" s="132">
        <v>1.1389153066720124</v>
      </c>
      <c r="J141" s="50">
        <v>152.81504064015928</v>
      </c>
      <c r="K141" s="36" t="str">
        <f>D141&amp;"|"&amp;F141</f>
        <v>Poultry|700to900</v>
      </c>
      <c r="L141" s="47"/>
      <c r="M141" s="132"/>
      <c r="N141" s="50"/>
      <c r="O141" s="47"/>
      <c r="P141" s="125"/>
    </row>
    <row r="142" spans="2:16">
      <c r="B142" s="135"/>
      <c r="C142" s="189" t="s">
        <v>224</v>
      </c>
      <c r="D142" s="189" t="s">
        <v>47</v>
      </c>
      <c r="E142" s="189" t="b">
        <v>1</v>
      </c>
      <c r="F142" s="189" t="s">
        <v>12</v>
      </c>
      <c r="G142" s="189" t="s">
        <v>11</v>
      </c>
      <c r="H142" s="46" t="str">
        <f>C142&amp;"|"&amp;D142&amp;"|"&amp;E142&amp;"|"&amp;F142&amp;"|"&amp;G142</f>
        <v>Wensum|Poultry|TRUE|700to900|DrainedArGr</v>
      </c>
      <c r="I142" s="132">
        <v>1.0803788918821891</v>
      </c>
      <c r="J142" s="50">
        <v>141.38948155648106</v>
      </c>
      <c r="K142" s="36" t="str">
        <f>D142&amp;"|"&amp;F142</f>
        <v>Poultry|700to900</v>
      </c>
      <c r="L142" s="47"/>
      <c r="M142" s="132"/>
      <c r="N142" s="50"/>
      <c r="O142" s="47"/>
      <c r="P142" s="125"/>
    </row>
    <row r="143" spans="2:16">
      <c r="B143" s="135"/>
      <c r="C143" s="189" t="s">
        <v>224</v>
      </c>
      <c r="D143" s="189" t="s">
        <v>55</v>
      </c>
      <c r="E143" s="189" t="b">
        <v>0</v>
      </c>
      <c r="F143" s="189" t="s">
        <v>8</v>
      </c>
      <c r="G143" s="189" t="s">
        <v>10</v>
      </c>
      <c r="H143" s="46" t="str">
        <f>C143&amp;"|"&amp;D143&amp;"|"&amp;E143&amp;"|"&amp;F143&amp;"|"&amp;G143</f>
        <v>Wensum|Dairy|FALSE|600to700|DrainedAr</v>
      </c>
      <c r="I143" s="132">
        <v>0.19485536777010148</v>
      </c>
      <c r="J143" s="50">
        <v>12.151865571569491</v>
      </c>
      <c r="K143" s="36" t="str">
        <f>D143&amp;"|"&amp;F143</f>
        <v>Dairy|600to700</v>
      </c>
      <c r="L143" s="47">
        <f>AVERAGE(I143,I145:I146,I205:I207,I326:I327,I329,I330,I414:I418)</f>
        <v>0.6716117876309452</v>
      </c>
      <c r="M143" s="132">
        <f>AVERAGE(J143,J145:J146,J205:J207,J326:J327,J329,J330,J414:J418)</f>
        <v>28.367567411196362</v>
      </c>
      <c r="N143" s="50">
        <f>AVERAGE(I143:I150,I205:I207,I326:I331,I414:I419)</f>
        <v>0.73182539423650528</v>
      </c>
      <c r="O143" s="47">
        <f>AVERAGE(J143:J150,J205:J207,J326:J331,J414:J419)</f>
        <v>25.540632532125652</v>
      </c>
      <c r="P143" s="125"/>
    </row>
    <row r="144" spans="2:16">
      <c r="B144" s="135"/>
      <c r="C144" s="189" t="s">
        <v>224</v>
      </c>
      <c r="D144" s="189" t="s">
        <v>55</v>
      </c>
      <c r="E144" s="189" t="b">
        <v>1</v>
      </c>
      <c r="F144" s="189" t="s">
        <v>8</v>
      </c>
      <c r="G144" s="189" t="s">
        <v>10</v>
      </c>
      <c r="H144" s="46" t="str">
        <f>C144&amp;"|"&amp;D144&amp;"|"&amp;E144&amp;"|"&amp;F144&amp;"|"&amp;G144</f>
        <v>Wensum|Dairy|TRUE|600to700|DrainedAr</v>
      </c>
      <c r="I144" s="132">
        <v>0.19406521416291797</v>
      </c>
      <c r="J144" s="50">
        <v>12.051446244873375</v>
      </c>
      <c r="K144" s="36" t="str">
        <f>D144&amp;"|"&amp;F144</f>
        <v>Dairy|600to700</v>
      </c>
      <c r="L144" s="47"/>
      <c r="M144" s="132"/>
      <c r="N144" s="50"/>
      <c r="O144" s="47"/>
      <c r="P144" s="125"/>
    </row>
    <row r="145" spans="2:16">
      <c r="B145" s="135"/>
      <c r="C145" s="189" t="s">
        <v>224</v>
      </c>
      <c r="D145" s="189" t="s">
        <v>55</v>
      </c>
      <c r="E145" s="189" t="b">
        <v>0</v>
      </c>
      <c r="F145" s="189" t="s">
        <v>8</v>
      </c>
      <c r="G145" s="189" t="s">
        <v>11</v>
      </c>
      <c r="H145" s="46" t="str">
        <f>C145&amp;"|"&amp;D145&amp;"|"&amp;E145&amp;"|"&amp;F145&amp;"|"&amp;G145</f>
        <v>Wensum|Dairy|FALSE|600to700|DrainedArGr</v>
      </c>
      <c r="I145" s="132">
        <v>0.51037243155106782</v>
      </c>
      <c r="J145" s="50">
        <v>11.29922082089538</v>
      </c>
      <c r="K145" s="36" t="str">
        <f>D145&amp;"|"&amp;F145</f>
        <v>Dairy|600to700</v>
      </c>
      <c r="L145" s="47"/>
      <c r="M145" s="132"/>
      <c r="N145" s="50"/>
      <c r="O145" s="47"/>
      <c r="P145" s="125"/>
    </row>
    <row r="146" spans="2:16">
      <c r="B146" s="135"/>
      <c r="C146" s="189" t="s">
        <v>224</v>
      </c>
      <c r="D146" s="189" t="s">
        <v>55</v>
      </c>
      <c r="E146" s="189" t="b">
        <v>1</v>
      </c>
      <c r="F146" s="189" t="s">
        <v>8</v>
      </c>
      <c r="G146" s="189" t="s">
        <v>11</v>
      </c>
      <c r="H146" s="46" t="str">
        <f>C146&amp;"|"&amp;D146&amp;"|"&amp;E146&amp;"|"&amp;F146&amp;"|"&amp;G146</f>
        <v>Wensum|Dairy|TRUE|600to700|DrainedArGr</v>
      </c>
      <c r="I146" s="132">
        <v>0.50230162416829671</v>
      </c>
      <c r="J146" s="50">
        <v>11.169674687880343</v>
      </c>
      <c r="K146" s="36" t="str">
        <f>D146&amp;"|"&amp;F146</f>
        <v>Dairy|600to700</v>
      </c>
      <c r="L146" s="47"/>
      <c r="M146" s="132"/>
      <c r="N146" s="50"/>
      <c r="O146" s="47"/>
      <c r="P146" s="125"/>
    </row>
    <row r="147" spans="2:16">
      <c r="B147" s="135"/>
      <c r="C147" s="189" t="s">
        <v>224</v>
      </c>
      <c r="D147" s="189" t="s">
        <v>55</v>
      </c>
      <c r="E147" s="189" t="b">
        <v>0</v>
      </c>
      <c r="F147" s="189" t="s">
        <v>12</v>
      </c>
      <c r="G147" s="189" t="s">
        <v>10</v>
      </c>
      <c r="H147" s="46" t="str">
        <f>C147&amp;"|"&amp;D147&amp;"|"&amp;E147&amp;"|"&amp;F147&amp;"|"&amp;G147</f>
        <v>Wensum|Dairy|FALSE|700to900|DrainedAr</v>
      </c>
      <c r="I147" s="132">
        <v>0.40890224426859828</v>
      </c>
      <c r="J147" s="50">
        <v>17.317172600361545</v>
      </c>
      <c r="K147" s="36" t="str">
        <f>D147&amp;"|"&amp;F147</f>
        <v>Dairy|700to900</v>
      </c>
      <c r="L147" s="47">
        <f>AVERAGE(I147,I149:I150,I331,I419,)</f>
        <v>0.97921237373386794</v>
      </c>
      <c r="M147" s="132">
        <f>AVERAGE(J147,J149:J150,J331,J419,)</f>
        <v>18.100923243152902</v>
      </c>
      <c r="N147" s="50"/>
      <c r="O147" s="47"/>
      <c r="P147" s="125"/>
    </row>
    <row r="148" spans="2:16">
      <c r="B148" s="135"/>
      <c r="C148" s="189" t="s">
        <v>224</v>
      </c>
      <c r="D148" s="189" t="s">
        <v>55</v>
      </c>
      <c r="E148" s="189" t="b">
        <v>1</v>
      </c>
      <c r="F148" s="189" t="s">
        <v>12</v>
      </c>
      <c r="G148" s="189" t="s">
        <v>10</v>
      </c>
      <c r="H148" s="46" t="str">
        <f>C148&amp;"|"&amp;D148&amp;"|"&amp;E148&amp;"|"&amp;F148&amp;"|"&amp;G148</f>
        <v>Wensum|Dairy|TRUE|700to900|DrainedAr</v>
      </c>
      <c r="I148" s="132">
        <v>0.40794352232133491</v>
      </c>
      <c r="J148" s="50">
        <v>17.172880289019968</v>
      </c>
      <c r="K148" s="36" t="str">
        <f>D148&amp;"|"&amp;F148</f>
        <v>Dairy|700to900</v>
      </c>
      <c r="L148" s="47"/>
      <c r="M148" s="132"/>
      <c r="N148" s="50"/>
      <c r="O148" s="47"/>
      <c r="P148" s="125"/>
    </row>
    <row r="149" spans="2:16">
      <c r="B149" s="135"/>
      <c r="C149" s="189" t="s">
        <v>224</v>
      </c>
      <c r="D149" s="189" t="s">
        <v>55</v>
      </c>
      <c r="E149" s="189" t="b">
        <v>0</v>
      </c>
      <c r="F149" s="189" t="s">
        <v>12</v>
      </c>
      <c r="G149" s="189" t="s">
        <v>11</v>
      </c>
      <c r="H149" s="46" t="str">
        <f>C149&amp;"|"&amp;D149&amp;"|"&amp;E149&amp;"|"&amp;F149&amp;"|"&amp;G149</f>
        <v>Wensum|Dairy|FALSE|700to900|DrainedArGr</v>
      </c>
      <c r="I149" s="132">
        <v>0.84007587371861181</v>
      </c>
      <c r="J149" s="50">
        <v>13.106029383370775</v>
      </c>
      <c r="K149" s="36" t="str">
        <f>D149&amp;"|"&amp;F149</f>
        <v>Dairy|700to900</v>
      </c>
      <c r="L149" s="47"/>
      <c r="M149" s="132"/>
      <c r="N149" s="50"/>
      <c r="O149" s="47"/>
      <c r="P149" s="125"/>
    </row>
    <row r="150" spans="2:16">
      <c r="B150" s="135"/>
      <c r="C150" s="189" t="s">
        <v>224</v>
      </c>
      <c r="D150" s="189" t="s">
        <v>55</v>
      </c>
      <c r="E150" s="189" t="b">
        <v>1</v>
      </c>
      <c r="F150" s="189" t="s">
        <v>12</v>
      </c>
      <c r="G150" s="189" t="s">
        <v>11</v>
      </c>
      <c r="H150" s="46" t="str">
        <f>C150&amp;"|"&amp;D150&amp;"|"&amp;E150&amp;"|"&amp;F150&amp;"|"&amp;G150</f>
        <v>Wensum|Dairy|TRUE|700to900|DrainedArGr</v>
      </c>
      <c r="I150" s="132">
        <v>0.83041287019965</v>
      </c>
      <c r="J150" s="50">
        <v>12.955904919074355</v>
      </c>
      <c r="K150" s="36" t="str">
        <f>D150&amp;"|"&amp;F150</f>
        <v>Dairy|700to900</v>
      </c>
      <c r="L150" s="47"/>
      <c r="M150" s="132"/>
      <c r="N150" s="50"/>
      <c r="O150" s="47"/>
      <c r="P150" s="125"/>
    </row>
    <row r="151" spans="2:16">
      <c r="B151" s="135"/>
      <c r="C151" s="189" t="s">
        <v>224</v>
      </c>
      <c r="D151" s="189" t="s">
        <v>58</v>
      </c>
      <c r="E151" s="189" t="b">
        <v>0</v>
      </c>
      <c r="F151" s="189" t="s">
        <v>8</v>
      </c>
      <c r="G151" s="189" t="s">
        <v>9</v>
      </c>
      <c r="H151" s="46" t="str">
        <f>C151&amp;"|"&amp;D151&amp;"|"&amp;E151&amp;"|"&amp;F151&amp;"|"&amp;G151</f>
        <v>Wensum|Lowland|FALSE|600to700|FreeDrain</v>
      </c>
      <c r="I151" s="132">
        <v>0.0606722000099348</v>
      </c>
      <c r="J151" s="50">
        <v>13.020647179581212</v>
      </c>
      <c r="K151" s="36" t="str">
        <f>D151&amp;"|"&amp;F151</f>
        <v>Lowland|600to700</v>
      </c>
      <c r="L151" s="47">
        <f>AVERAGE(I151,I153,I155,I208:I209,I211,I253,I255,I333:I334,I421:I422,I424)</f>
        <v>0.17091668135947083</v>
      </c>
      <c r="M151" s="132">
        <f>AVERAGE(J151,J153,J155,J208:J209,J211,J253,J255,J333:J334,J421:J422,J424)</f>
        <v>11.133195049570837</v>
      </c>
      <c r="N151" s="50">
        <f>AVERAGE(I151:I160,I208:I214,I253:I260,I332:I343,I420:I431)</f>
        <v>0.30276153251418442</v>
      </c>
      <c r="O151" s="47">
        <f>AVERAGE(J151:J160,J208:J214,J253:J260,J332:J343,J420:J431)</f>
        <v>12.861959142681265</v>
      </c>
      <c r="P151" s="125"/>
    </row>
    <row r="152" spans="2:16">
      <c r="B152" s="135"/>
      <c r="C152" s="189" t="s">
        <v>224</v>
      </c>
      <c r="D152" s="189" t="s">
        <v>58</v>
      </c>
      <c r="E152" s="189" t="b">
        <v>1</v>
      </c>
      <c r="F152" s="189" t="s">
        <v>8</v>
      </c>
      <c r="G152" s="189" t="s">
        <v>9</v>
      </c>
      <c r="H152" s="46" t="str">
        <f>C152&amp;"|"&amp;D152&amp;"|"&amp;E152&amp;"|"&amp;F152&amp;"|"&amp;G152</f>
        <v>Wensum|Lowland|TRUE|600to700|FreeDrain</v>
      </c>
      <c r="I152" s="132">
        <v>0.060672075362998137</v>
      </c>
      <c r="J152" s="50">
        <v>12.935297467149205</v>
      </c>
      <c r="K152" s="36" t="str">
        <f>D152&amp;"|"&amp;F152</f>
        <v>Lowland|600to700</v>
      </c>
      <c r="L152" s="47"/>
      <c r="M152" s="132"/>
      <c r="N152" s="50"/>
      <c r="O152" s="47"/>
      <c r="P152" s="125"/>
    </row>
    <row r="153" spans="2:16">
      <c r="B153" s="135"/>
      <c r="C153" s="189" t="s">
        <v>224</v>
      </c>
      <c r="D153" s="189" t="s">
        <v>58</v>
      </c>
      <c r="E153" s="189" t="b">
        <v>0</v>
      </c>
      <c r="F153" s="189" t="s">
        <v>8</v>
      </c>
      <c r="G153" s="189" t="s">
        <v>10</v>
      </c>
      <c r="H153" s="46" t="str">
        <f>C153&amp;"|"&amp;D153&amp;"|"&amp;E153&amp;"|"&amp;F153&amp;"|"&amp;G153</f>
        <v>Wensum|Lowland|FALSE|600to700|DrainedAr</v>
      </c>
      <c r="I153" s="132">
        <v>0.11462589030212797</v>
      </c>
      <c r="J153" s="50">
        <v>8.9298182028088924</v>
      </c>
      <c r="K153" s="36" t="str">
        <f>D153&amp;"|"&amp;F153</f>
        <v>Lowland|600to700</v>
      </c>
      <c r="L153" s="47"/>
      <c r="M153" s="132"/>
      <c r="N153" s="50"/>
      <c r="O153" s="47"/>
      <c r="P153" s="125"/>
    </row>
    <row r="154" spans="2:16">
      <c r="B154" s="135"/>
      <c r="C154" s="189" t="s">
        <v>224</v>
      </c>
      <c r="D154" s="189" t="s">
        <v>58</v>
      </c>
      <c r="E154" s="189" t="b">
        <v>1</v>
      </c>
      <c r="F154" s="189" t="s">
        <v>8</v>
      </c>
      <c r="G154" s="189" t="s">
        <v>10</v>
      </c>
      <c r="H154" s="46" t="str">
        <f>C154&amp;"|"&amp;D154&amp;"|"&amp;E154&amp;"|"&amp;F154&amp;"|"&amp;G154</f>
        <v>Wensum|Lowland|TRUE|600to700|DrainedAr</v>
      </c>
      <c r="I154" s="132">
        <v>0.11462570230665367</v>
      </c>
      <c r="J154" s="50">
        <v>8.8746237247586475</v>
      </c>
      <c r="K154" s="36" t="str">
        <f>D154&amp;"|"&amp;F154</f>
        <v>Lowland|600to700</v>
      </c>
      <c r="L154" s="47"/>
      <c r="M154" s="132"/>
      <c r="N154" s="50"/>
      <c r="O154" s="47"/>
      <c r="P154" s="125"/>
    </row>
    <row r="155" spans="2:16">
      <c r="B155" s="135"/>
      <c r="C155" s="189" t="s">
        <v>224</v>
      </c>
      <c r="D155" s="189" t="s">
        <v>58</v>
      </c>
      <c r="E155" s="189" t="b">
        <v>1</v>
      </c>
      <c r="F155" s="189" t="s">
        <v>8</v>
      </c>
      <c r="G155" s="189" t="s">
        <v>11</v>
      </c>
      <c r="H155" s="46" t="str">
        <f>C155&amp;"|"&amp;D155&amp;"|"&amp;E155&amp;"|"&amp;F155&amp;"|"&amp;G155</f>
        <v>Wensum|Lowland|TRUE|600to700|DrainedArGr</v>
      </c>
      <c r="I155" s="132">
        <v>0.42625553365860647</v>
      </c>
      <c r="J155" s="50">
        <v>7.968457250884863</v>
      </c>
      <c r="K155" s="36" t="str">
        <f>D155&amp;"|"&amp;F155</f>
        <v>Lowland|600to700</v>
      </c>
      <c r="L155" s="47"/>
      <c r="M155" s="132"/>
      <c r="N155" s="50"/>
      <c r="O155" s="47"/>
      <c r="P155" s="125"/>
    </row>
    <row r="156" spans="2:16">
      <c r="B156" s="135"/>
      <c r="C156" s="189" t="s">
        <v>224</v>
      </c>
      <c r="D156" s="189" t="s">
        <v>58</v>
      </c>
      <c r="E156" s="189" t="b">
        <v>1</v>
      </c>
      <c r="F156" s="189" t="s">
        <v>12</v>
      </c>
      <c r="G156" s="189" t="s">
        <v>9</v>
      </c>
      <c r="H156" s="46" t="str">
        <f>C156&amp;"|"&amp;D156&amp;"|"&amp;E156&amp;"|"&amp;F156&amp;"|"&amp;G156</f>
        <v>Wensum|Lowland|TRUE|700to900|FreeDrain</v>
      </c>
      <c r="I156" s="132">
        <v>0.1095616587190448</v>
      </c>
      <c r="J156" s="50">
        <v>17.553094532003133</v>
      </c>
      <c r="K156" s="36" t="str">
        <f>D156&amp;"|"&amp;F156</f>
        <v>Lowland|700to900</v>
      </c>
      <c r="L156" s="47">
        <f>AVERAGE(I156:I157,I159,I213:I214,I257:I259,I338,I339,I341,I426:I427,I429)</f>
        <v>0.36922711563885163</v>
      </c>
      <c r="M156" s="132">
        <f>AVERAGE(J156:J157,J159,J213:J214,J257:J259,J338,J339,J341,J426:J427,J429)</f>
        <v>14.718467198365428</v>
      </c>
      <c r="N156" s="50"/>
      <c r="O156" s="47"/>
      <c r="P156" s="125"/>
    </row>
    <row r="157" spans="2:16">
      <c r="B157" s="135"/>
      <c r="C157" s="189" t="s">
        <v>224</v>
      </c>
      <c r="D157" s="189" t="s">
        <v>58</v>
      </c>
      <c r="E157" s="189" t="b">
        <v>0</v>
      </c>
      <c r="F157" s="189" t="s">
        <v>12</v>
      </c>
      <c r="G157" s="189" t="s">
        <v>10</v>
      </c>
      <c r="H157" s="46" t="str">
        <f>C157&amp;"|"&amp;D157&amp;"|"&amp;E157&amp;"|"&amp;F157&amp;"|"&amp;G157</f>
        <v>Wensum|Lowland|FALSE|700to900|DrainedAr</v>
      </c>
      <c r="I157" s="132">
        <v>0.21660279988560888</v>
      </c>
      <c r="J157" s="50">
        <v>13.750138144937067</v>
      </c>
      <c r="K157" s="36" t="str">
        <f>D157&amp;"|"&amp;F157</f>
        <v>Lowland|700to900</v>
      </c>
      <c r="L157" s="47"/>
      <c r="M157" s="132"/>
      <c r="N157" s="50"/>
      <c r="O157" s="47"/>
      <c r="P157" s="125"/>
    </row>
    <row r="158" spans="2:16">
      <c r="B158" s="135"/>
      <c r="C158" s="189" t="s">
        <v>224</v>
      </c>
      <c r="D158" s="189" t="s">
        <v>58</v>
      </c>
      <c r="E158" s="189" t="b">
        <v>1</v>
      </c>
      <c r="F158" s="189" t="s">
        <v>12</v>
      </c>
      <c r="G158" s="189" t="s">
        <v>10</v>
      </c>
      <c r="H158" s="46" t="str">
        <f>C158&amp;"|"&amp;D158&amp;"|"&amp;E158&amp;"|"&amp;F158&amp;"|"&amp;G158</f>
        <v>Wensum|Lowland|TRUE|700to900|DrainedAr</v>
      </c>
      <c r="I158" s="132">
        <v>0.21660255365244568</v>
      </c>
      <c r="J158" s="50">
        <v>13.664701251388232</v>
      </c>
      <c r="K158" s="36" t="str">
        <f>D158&amp;"|"&amp;F158</f>
        <v>Lowland|700to900</v>
      </c>
      <c r="L158" s="47"/>
      <c r="M158" s="132"/>
      <c r="N158" s="50"/>
      <c r="O158" s="47"/>
      <c r="P158" s="125"/>
    </row>
    <row r="159" spans="2:16">
      <c r="B159" s="135"/>
      <c r="C159" s="189" t="s">
        <v>224</v>
      </c>
      <c r="D159" s="189" t="s">
        <v>58</v>
      </c>
      <c r="E159" s="189" t="b">
        <v>0</v>
      </c>
      <c r="F159" s="189" t="s">
        <v>12</v>
      </c>
      <c r="G159" s="189" t="s">
        <v>11</v>
      </c>
      <c r="H159" s="46" t="str">
        <f>C159&amp;"|"&amp;D159&amp;"|"&amp;E159&amp;"|"&amp;F159&amp;"|"&amp;G159</f>
        <v>Wensum|Lowland|FALSE|700to900|DrainedArGr</v>
      </c>
      <c r="I159" s="132">
        <v>0.68378358354918023</v>
      </c>
      <c r="J159" s="50">
        <v>9.6469036437115747</v>
      </c>
      <c r="K159" s="36" t="str">
        <f>D159&amp;"|"&amp;F159</f>
        <v>Lowland|700to900</v>
      </c>
      <c r="L159" s="47"/>
      <c r="M159" s="132"/>
      <c r="N159" s="50"/>
      <c r="O159" s="47"/>
      <c r="P159" s="125"/>
    </row>
    <row r="160" spans="2:16">
      <c r="B160" s="135"/>
      <c r="C160" s="189" t="s">
        <v>224</v>
      </c>
      <c r="D160" s="189" t="s">
        <v>58</v>
      </c>
      <c r="E160" s="189" t="b">
        <v>1</v>
      </c>
      <c r="F160" s="189" t="s">
        <v>12</v>
      </c>
      <c r="G160" s="189" t="s">
        <v>11</v>
      </c>
      <c r="H160" s="46" t="str">
        <f>C160&amp;"|"&amp;D160&amp;"|"&amp;E160&amp;"|"&amp;F160&amp;"|"&amp;G160</f>
        <v>Wensum|Lowland|TRUE|700to900|DrainedArGr</v>
      </c>
      <c r="I160" s="132">
        <v>0.68375757286770056</v>
      </c>
      <c r="J160" s="50">
        <v>9.6235789743269</v>
      </c>
      <c r="K160" s="36" t="str">
        <f>D160&amp;"|"&amp;F160</f>
        <v>Lowland|700to900</v>
      </c>
      <c r="L160" s="47"/>
      <c r="M160" s="132"/>
      <c r="N160" s="50"/>
      <c r="O160" s="47"/>
      <c r="P160" s="125"/>
    </row>
    <row r="161" spans="2:16">
      <c r="B161" s="135"/>
      <c r="C161" s="189" t="s">
        <v>224</v>
      </c>
      <c r="D161" s="189" t="s">
        <v>59</v>
      </c>
      <c r="E161" s="189" t="b">
        <v>0</v>
      </c>
      <c r="F161" s="189" t="s">
        <v>8</v>
      </c>
      <c r="G161" s="189" t="s">
        <v>9</v>
      </c>
      <c r="H161" s="46" t="str">
        <f>C161&amp;"|"&amp;D161&amp;"|"&amp;E161&amp;"|"&amp;F161&amp;"|"&amp;G161</f>
        <v>Wensum|Mixed|FALSE|600to700|FreeDrain</v>
      </c>
      <c r="I161" s="132">
        <v>0.058549659197759278</v>
      </c>
      <c r="J161" s="50">
        <v>27.392643983079061</v>
      </c>
      <c r="K161" s="36" t="str">
        <f>D161&amp;"|"&amp;F161</f>
        <v>Mixed|600to700</v>
      </c>
      <c r="L161" s="47">
        <f>AVERAGE(I161,I163,I215:I218,I262,I264,I344,I347,I349,I432,I434:I437)</f>
        <v>0.3781807342474876</v>
      </c>
      <c r="M161" s="132">
        <f>AVERAGE(J161,J163,J215:J218,J262,J264,J344,J347,J349,J432,J434:J437)</f>
        <v>28.999372590394682</v>
      </c>
      <c r="N161" s="50">
        <f>AVERAGE(I161:I170,I432:I442)</f>
        <v>0.630277832402185</v>
      </c>
      <c r="O161" s="47">
        <f>AVERAGE(J161:J170,J432:J442)</f>
        <v>33.736024462665924</v>
      </c>
      <c r="P161" s="125"/>
    </row>
    <row r="162" spans="2:16">
      <c r="B162" s="135"/>
      <c r="C162" s="189" t="s">
        <v>224</v>
      </c>
      <c r="D162" s="189" t="s">
        <v>59</v>
      </c>
      <c r="E162" s="189" t="b">
        <v>1</v>
      </c>
      <c r="F162" s="189" t="s">
        <v>8</v>
      </c>
      <c r="G162" s="189" t="s">
        <v>9</v>
      </c>
      <c r="H162" s="46" t="str">
        <f>C162&amp;"|"&amp;D162&amp;"|"&amp;E162&amp;"|"&amp;F162&amp;"|"&amp;G162</f>
        <v>Wensum|Mixed|TRUE|600to700|FreeDrain</v>
      </c>
      <c r="I162" s="132">
        <v>0.058326156497808472</v>
      </c>
      <c r="J162" s="50">
        <v>27.326084548070323</v>
      </c>
      <c r="K162" s="36" t="str">
        <f>D162&amp;"|"&amp;F162</f>
        <v>Mixed|600to700</v>
      </c>
      <c r="L162" s="47"/>
      <c r="M162" s="132"/>
      <c r="N162" s="50"/>
      <c r="O162" s="47"/>
      <c r="P162" s="125"/>
    </row>
    <row r="163" spans="2:16">
      <c r="B163" s="135"/>
      <c r="C163" s="189" t="s">
        <v>224</v>
      </c>
      <c r="D163" s="189" t="s">
        <v>59</v>
      </c>
      <c r="E163" s="189" t="b">
        <v>0</v>
      </c>
      <c r="F163" s="189" t="s">
        <v>8</v>
      </c>
      <c r="G163" s="189" t="s">
        <v>10</v>
      </c>
      <c r="H163" s="46" t="str">
        <f>C163&amp;"|"&amp;D163&amp;"|"&amp;E163&amp;"|"&amp;F163&amp;"|"&amp;G163</f>
        <v>Wensum|Mixed|FALSE|600to700|DrainedAr</v>
      </c>
      <c r="I163" s="132">
        <v>0.28503442026999537</v>
      </c>
      <c r="J163" s="50">
        <v>18.961889010943114</v>
      </c>
      <c r="K163" s="36" t="str">
        <f>D163&amp;"|"&amp;F163</f>
        <v>Mixed|600to700</v>
      </c>
      <c r="L163" s="47"/>
      <c r="M163" s="132"/>
      <c r="N163" s="50"/>
      <c r="O163" s="47"/>
      <c r="P163" s="125"/>
    </row>
    <row r="164" spans="2:16">
      <c r="B164" s="135"/>
      <c r="C164" s="189" t="s">
        <v>224</v>
      </c>
      <c r="D164" s="189" t="s">
        <v>59</v>
      </c>
      <c r="E164" s="189" t="b">
        <v>1</v>
      </c>
      <c r="F164" s="189" t="s">
        <v>8</v>
      </c>
      <c r="G164" s="189" t="s">
        <v>10</v>
      </c>
      <c r="H164" s="46" t="str">
        <f>C164&amp;"|"&amp;D164&amp;"|"&amp;E164&amp;"|"&amp;F164&amp;"|"&amp;G164</f>
        <v>Wensum|Mixed|TRUE|600to700|DrainedAr</v>
      </c>
      <c r="I164" s="132">
        <v>0.28293019935410368</v>
      </c>
      <c r="J164" s="50">
        <v>18.759212606458391</v>
      </c>
      <c r="K164" s="36" t="str">
        <f>D164&amp;"|"&amp;F164</f>
        <v>Mixed|600to700</v>
      </c>
      <c r="L164" s="47"/>
      <c r="M164" s="132"/>
      <c r="N164" s="50"/>
      <c r="O164" s="47"/>
      <c r="P164" s="125"/>
    </row>
    <row r="165" spans="2:16">
      <c r="B165" s="135"/>
      <c r="C165" s="189" t="s">
        <v>224</v>
      </c>
      <c r="D165" s="189" t="s">
        <v>59</v>
      </c>
      <c r="E165" s="189" t="b">
        <v>1</v>
      </c>
      <c r="F165" s="189" t="s">
        <v>8</v>
      </c>
      <c r="G165" s="189" t="s">
        <v>11</v>
      </c>
      <c r="H165" s="46" t="str">
        <f>C165&amp;"|"&amp;D165&amp;"|"&amp;E165&amp;"|"&amp;F165&amp;"|"&amp;G165</f>
        <v>Wensum|Mixed|TRUE|600to700|DrainedArGr</v>
      </c>
      <c r="I165" s="132">
        <v>0.55324242899211029</v>
      </c>
      <c r="J165" s="50">
        <v>18.828528463047611</v>
      </c>
      <c r="K165" s="36" t="str">
        <f>D165&amp;"|"&amp;F165</f>
        <v>Mixed|600to700</v>
      </c>
      <c r="L165" s="47"/>
      <c r="M165" s="132"/>
      <c r="N165" s="50"/>
      <c r="O165" s="37"/>
      <c r="P165" s="125"/>
    </row>
    <row r="166" spans="2:16">
      <c r="B166" s="135"/>
      <c r="C166" s="189" t="s">
        <v>224</v>
      </c>
      <c r="D166" s="189" t="s">
        <v>59</v>
      </c>
      <c r="E166" s="189" t="b">
        <v>1</v>
      </c>
      <c r="F166" s="189" t="s">
        <v>12</v>
      </c>
      <c r="G166" s="189" t="s">
        <v>9</v>
      </c>
      <c r="H166" s="46" t="str">
        <f>C166&amp;"|"&amp;D166&amp;"|"&amp;E166&amp;"|"&amp;F166&amp;"|"&amp;G166</f>
        <v>Wensum|Mixed|TRUE|700to900|FreeDrain</v>
      </c>
      <c r="I166" s="132">
        <v>0.1437460000833149</v>
      </c>
      <c r="J166" s="50">
        <v>33.10889044095164</v>
      </c>
      <c r="K166" s="36" t="str">
        <f>D166&amp;"|"&amp;F166</f>
        <v>Mixed|700to900</v>
      </c>
      <c r="L166" s="47">
        <f>AVERAGE(I166:I167,I169:I170,I220,I265:I266,I349,I350:I354,I438:I442)</f>
        <v>0.76238310456354264</v>
      </c>
      <c r="M166" s="132">
        <f>AVERAGE(J166:J167,J169:J170,J220,J265:J266,J349,J350:J354,J438:J442)</f>
        <v>33.045338699420967</v>
      </c>
      <c r="N166" s="50"/>
      <c r="O166" s="37"/>
      <c r="P166" s="125"/>
    </row>
    <row r="167" spans="2:16">
      <c r="B167" s="135"/>
      <c r="C167" s="189" t="s">
        <v>224</v>
      </c>
      <c r="D167" s="189" t="s">
        <v>59</v>
      </c>
      <c r="E167" s="189" t="b">
        <v>0</v>
      </c>
      <c r="F167" s="189" t="s">
        <v>12</v>
      </c>
      <c r="G167" s="189" t="s">
        <v>10</v>
      </c>
      <c r="H167" s="46" t="str">
        <f>C167&amp;"|"&amp;D167&amp;"|"&amp;E167&amp;"|"&amp;F167&amp;"|"&amp;G167</f>
        <v>Wensum|Mixed|FALSE|700to900|DrainedAr</v>
      </c>
      <c r="I167" s="132">
        <v>0.59781542523795927</v>
      </c>
      <c r="J167" s="50">
        <v>24.323101999615183</v>
      </c>
      <c r="K167" s="36" t="str">
        <f>D167&amp;"|"&amp;F167</f>
        <v>Mixed|700to900</v>
      </c>
      <c r="L167" s="47"/>
      <c r="M167" s="132"/>
      <c r="N167" s="50"/>
      <c r="O167" s="37"/>
      <c r="P167" s="125"/>
    </row>
    <row r="168" spans="2:16">
      <c r="B168" s="135"/>
      <c r="C168" s="189" t="s">
        <v>224</v>
      </c>
      <c r="D168" s="189" t="s">
        <v>59</v>
      </c>
      <c r="E168" s="189" t="b">
        <v>1</v>
      </c>
      <c r="F168" s="189" t="s">
        <v>12</v>
      </c>
      <c r="G168" s="189" t="s">
        <v>10</v>
      </c>
      <c r="H168" s="46" t="str">
        <f>C168&amp;"|"&amp;D168&amp;"|"&amp;E168&amp;"|"&amp;F168&amp;"|"&amp;G168</f>
        <v>Wensum|Mixed|TRUE|700to900|DrainedAr</v>
      </c>
      <c r="I168" s="132">
        <v>0.59527919024563358</v>
      </c>
      <c r="J168" s="50">
        <v>24.06111159672875</v>
      </c>
      <c r="K168" s="36" t="str">
        <f>D168&amp;"|"&amp;F168</f>
        <v>Mixed|700to900</v>
      </c>
      <c r="L168" s="47"/>
      <c r="M168" s="132"/>
      <c r="N168" s="50"/>
      <c r="O168" s="37"/>
      <c r="P168" s="125"/>
    </row>
    <row r="169" spans="2:16">
      <c r="B169" s="135"/>
      <c r="C169" s="189" t="s">
        <v>224</v>
      </c>
      <c r="D169" s="189" t="s">
        <v>59</v>
      </c>
      <c r="E169" s="189" t="b">
        <v>0</v>
      </c>
      <c r="F169" s="189" t="s">
        <v>12</v>
      </c>
      <c r="G169" s="189" t="s">
        <v>11</v>
      </c>
      <c r="H169" s="46" t="str">
        <f>C169&amp;"|"&amp;D169&amp;"|"&amp;E169&amp;"|"&amp;F169&amp;"|"&amp;G169</f>
        <v>Wensum|Mixed|FALSE|700to900|DrainedArGr</v>
      </c>
      <c r="I169" s="132">
        <v>0.94915087868382153</v>
      </c>
      <c r="J169" s="50">
        <v>20.979969777068753</v>
      </c>
      <c r="K169" s="36" t="str">
        <f>D169&amp;"|"&amp;F169</f>
        <v>Mixed|700to900</v>
      </c>
      <c r="L169" s="47"/>
      <c r="M169" s="132"/>
      <c r="N169" s="50"/>
      <c r="O169" s="37"/>
      <c r="P169" s="125"/>
    </row>
    <row r="170" spans="2:16">
      <c r="B170" s="135"/>
      <c r="C170" s="189" t="s">
        <v>224</v>
      </c>
      <c r="D170" s="189" t="s">
        <v>59</v>
      </c>
      <c r="E170" s="189" t="b">
        <v>1</v>
      </c>
      <c r="F170" s="189" t="s">
        <v>12</v>
      </c>
      <c r="G170" s="189" t="s">
        <v>11</v>
      </c>
      <c r="H170" s="46" t="str">
        <f>C170&amp;"|"&amp;D170&amp;"|"&amp;E170&amp;"|"&amp;F170&amp;"|"&amp;G170</f>
        <v>Wensum|Mixed|TRUE|700to900|DrainedArGr</v>
      </c>
      <c r="I170" s="132">
        <v>0.94476987368161325</v>
      </c>
      <c r="J170" s="50">
        <v>20.640938879934467</v>
      </c>
      <c r="K170" s="36" t="str">
        <f>D170&amp;"|"&amp;F170</f>
        <v>Mixed|700to900</v>
      </c>
      <c r="L170" s="47"/>
      <c r="M170" s="132"/>
      <c r="N170" s="50"/>
      <c r="O170" s="37"/>
      <c r="P170" s="125"/>
    </row>
    <row r="171" spans="2:16">
      <c r="B171" s="135"/>
      <c r="C171" s="189" t="s">
        <v>227</v>
      </c>
      <c r="D171" s="189" t="s">
        <v>7</v>
      </c>
      <c r="E171" s="189" t="b">
        <v>0</v>
      </c>
      <c r="F171" s="189" t="s">
        <v>8</v>
      </c>
      <c r="G171" s="189" t="s">
        <v>9</v>
      </c>
      <c r="H171" s="46" t="str">
        <f>C171&amp;"|"&amp;D171&amp;"|"&amp;E171&amp;"|"&amp;F171&amp;"|"&amp;G171</f>
        <v>Yare|Cereals|FALSE|600to700|FreeDrain</v>
      </c>
      <c r="I171" s="132">
        <v>0.058844914245112623</v>
      </c>
      <c r="J171" s="50">
        <v>26.211346635689221</v>
      </c>
      <c r="K171" s="36" t="str">
        <f>D171&amp;"|"&amp;F171</f>
        <v>Cereals|600to700</v>
      </c>
      <c r="L171" s="47"/>
      <c r="M171" s="132"/>
      <c r="N171" s="50"/>
      <c r="O171" s="37"/>
      <c r="P171" s="125"/>
    </row>
    <row r="172" spans="2:16">
      <c r="B172" s="135"/>
      <c r="C172" s="189" t="s">
        <v>227</v>
      </c>
      <c r="D172" s="189" t="s">
        <v>7</v>
      </c>
      <c r="E172" s="189" t="b">
        <v>1</v>
      </c>
      <c r="F172" s="189" t="s">
        <v>8</v>
      </c>
      <c r="G172" s="189" t="s">
        <v>9</v>
      </c>
      <c r="H172" s="46" t="str">
        <f>C172&amp;"|"&amp;D172&amp;"|"&amp;E172&amp;"|"&amp;F172&amp;"|"&amp;G172</f>
        <v>Yare|Cereals|TRUE|600to700|FreeDrain</v>
      </c>
      <c r="I172" s="132">
        <v>0.058839070554781429</v>
      </c>
      <c r="J172" s="50">
        <v>26.128166052717503</v>
      </c>
      <c r="K172" s="36" t="str">
        <f>D172&amp;"|"&amp;F172</f>
        <v>Cereals|600to700</v>
      </c>
      <c r="L172" s="47"/>
      <c r="M172" s="132"/>
      <c r="N172" s="50"/>
      <c r="O172" s="37"/>
      <c r="P172" s="125"/>
    </row>
    <row r="173" spans="2:16">
      <c r="B173" s="135"/>
      <c r="C173" s="189" t="s">
        <v>227</v>
      </c>
      <c r="D173" s="189" t="s">
        <v>7</v>
      </c>
      <c r="E173" s="189" t="b">
        <v>0</v>
      </c>
      <c r="F173" s="189" t="s">
        <v>8</v>
      </c>
      <c r="G173" s="189" t="s">
        <v>10</v>
      </c>
      <c r="H173" s="46" t="str">
        <f>C173&amp;"|"&amp;D173&amp;"|"&amp;E173&amp;"|"&amp;F173&amp;"|"&amp;G173</f>
        <v>Yare|Cereals|FALSE|600to700|DrainedAr</v>
      </c>
      <c r="I173" s="132">
        <v>0.33844189922830326</v>
      </c>
      <c r="J173" s="50">
        <v>19.28725082291794</v>
      </c>
      <c r="K173" s="36" t="str">
        <f>D173&amp;"|"&amp;F173</f>
        <v>Cereals|600to700</v>
      </c>
      <c r="L173" s="47"/>
      <c r="M173" s="132"/>
      <c r="N173" s="50"/>
      <c r="O173" s="37"/>
      <c r="P173" s="125"/>
    </row>
    <row r="174" spans="2:16">
      <c r="B174" s="135"/>
      <c r="C174" s="189" t="s">
        <v>227</v>
      </c>
      <c r="D174" s="189" t="s">
        <v>7</v>
      </c>
      <c r="E174" s="189" t="b">
        <v>1</v>
      </c>
      <c r="F174" s="189" t="s">
        <v>8</v>
      </c>
      <c r="G174" s="189" t="s">
        <v>10</v>
      </c>
      <c r="H174" s="46" t="str">
        <f>C174&amp;"|"&amp;D174&amp;"|"&amp;E174&amp;"|"&amp;F174&amp;"|"&amp;G174</f>
        <v>Yare|Cereals|TRUE|600to700|DrainedAr</v>
      </c>
      <c r="I174" s="132">
        <v>0.33840538996631264</v>
      </c>
      <c r="J174" s="50">
        <v>19.230392512968677</v>
      </c>
      <c r="K174" s="36" t="str">
        <f>D174&amp;"|"&amp;F174</f>
        <v>Cereals|600to700</v>
      </c>
      <c r="L174" s="47"/>
      <c r="M174" s="132"/>
      <c r="N174" s="50"/>
      <c r="O174" s="37"/>
      <c r="P174" s="125"/>
    </row>
    <row r="175" spans="2:16">
      <c r="B175" s="135"/>
      <c r="C175" s="189" t="s">
        <v>227</v>
      </c>
      <c r="D175" s="189" t="s">
        <v>7</v>
      </c>
      <c r="E175" s="189" t="b">
        <v>0</v>
      </c>
      <c r="F175" s="189" t="s">
        <v>8</v>
      </c>
      <c r="G175" s="189" t="s">
        <v>11</v>
      </c>
      <c r="H175" s="46" t="str">
        <f>C175&amp;"|"&amp;D175&amp;"|"&amp;E175&amp;"|"&amp;F175&amp;"|"&amp;G175</f>
        <v>Yare|Cereals|FALSE|600to700|DrainedArGr</v>
      </c>
      <c r="I175" s="132">
        <v>0.55537314979650387</v>
      </c>
      <c r="J175" s="50">
        <v>20.615973672195377</v>
      </c>
      <c r="K175" s="36" t="str">
        <f>D175&amp;"|"&amp;F175</f>
        <v>Cereals|600to700</v>
      </c>
      <c r="L175" s="47"/>
      <c r="M175" s="132"/>
      <c r="N175" s="50"/>
      <c r="O175" s="37"/>
      <c r="P175" s="125"/>
    </row>
    <row r="176" spans="2:16">
      <c r="B176" s="135"/>
      <c r="C176" s="189" t="s">
        <v>227</v>
      </c>
      <c r="D176" s="189" t="s">
        <v>7</v>
      </c>
      <c r="E176" s="189" t="b">
        <v>1</v>
      </c>
      <c r="F176" s="189" t="s">
        <v>8</v>
      </c>
      <c r="G176" s="189" t="s">
        <v>11</v>
      </c>
      <c r="H176" s="46" t="str">
        <f>C176&amp;"|"&amp;D176&amp;"|"&amp;E176&amp;"|"&amp;F176&amp;"|"&amp;G176</f>
        <v>Yare|Cereals|TRUE|600to700|DrainedArGr</v>
      </c>
      <c r="I176" s="132">
        <v>0.55529825679118006</v>
      </c>
      <c r="J176" s="50">
        <v>20.5595970067854</v>
      </c>
      <c r="K176" s="36" t="str">
        <f>D176&amp;"|"&amp;F176</f>
        <v>Cereals|600to700</v>
      </c>
      <c r="L176" s="47"/>
      <c r="M176" s="132"/>
      <c r="N176" s="50"/>
      <c r="O176" s="37"/>
      <c r="P176" s="125"/>
    </row>
    <row r="177" spans="2:16">
      <c r="B177" s="135"/>
      <c r="C177" s="189" t="s">
        <v>227</v>
      </c>
      <c r="D177" s="189" t="s">
        <v>7</v>
      </c>
      <c r="E177" s="189" t="b">
        <v>1</v>
      </c>
      <c r="F177" s="189" t="s">
        <v>12</v>
      </c>
      <c r="G177" s="189" t="s">
        <v>9</v>
      </c>
      <c r="H177" s="46" t="str">
        <f>C177&amp;"|"&amp;D177&amp;"|"&amp;E177&amp;"|"&amp;F177&amp;"|"&amp;G177</f>
        <v>Yare|Cereals|TRUE|700to900|FreeDrain</v>
      </c>
      <c r="I177" s="132">
        <v>0.16841561522465145</v>
      </c>
      <c r="J177" s="50">
        <v>31.209026723942472</v>
      </c>
      <c r="K177" s="36" t="str">
        <f>D177&amp;"|"&amp;F177</f>
        <v>Cereals|700to900</v>
      </c>
      <c r="L177" s="47"/>
      <c r="M177" s="132"/>
      <c r="N177" s="50"/>
      <c r="O177" s="37"/>
      <c r="P177" s="125"/>
    </row>
    <row r="178" spans="2:16">
      <c r="B178" s="135"/>
      <c r="C178" s="189" t="s">
        <v>227</v>
      </c>
      <c r="D178" s="189" t="s">
        <v>7</v>
      </c>
      <c r="E178" s="189" t="b">
        <v>1</v>
      </c>
      <c r="F178" s="189" t="s">
        <v>12</v>
      </c>
      <c r="G178" s="189" t="s">
        <v>10</v>
      </c>
      <c r="H178" s="46" t="str">
        <f>C178&amp;"|"&amp;D178&amp;"|"&amp;E178&amp;"|"&amp;F178&amp;"|"&amp;G178</f>
        <v>Yare|Cereals|TRUE|700to900|DrainedAr</v>
      </c>
      <c r="I178" s="132">
        <v>0.72868942160477856</v>
      </c>
      <c r="J178" s="50">
        <v>23.991401773498918</v>
      </c>
      <c r="K178" s="36" t="str">
        <f>D178&amp;"|"&amp;F178</f>
        <v>Cereals|700to900</v>
      </c>
      <c r="L178" s="47"/>
      <c r="M178" s="132"/>
      <c r="N178" s="50"/>
      <c r="O178" s="37"/>
      <c r="P178" s="125"/>
    </row>
    <row r="179" spans="2:16">
      <c r="B179" s="135"/>
      <c r="C179" s="189" t="s">
        <v>227</v>
      </c>
      <c r="D179" s="189" t="s">
        <v>7</v>
      </c>
      <c r="E179" s="189" t="b">
        <v>1</v>
      </c>
      <c r="F179" s="189" t="s">
        <v>12</v>
      </c>
      <c r="G179" s="189" t="s">
        <v>11</v>
      </c>
      <c r="H179" s="46" t="str">
        <f>C179&amp;"|"&amp;D179&amp;"|"&amp;E179&amp;"|"&amp;F179&amp;"|"&amp;G179</f>
        <v>Yare|Cereals|TRUE|700to900|DrainedArGr</v>
      </c>
      <c r="I179" s="132">
        <v>0.97933189279715</v>
      </c>
      <c r="J179" s="50">
        <v>22.545403938828116</v>
      </c>
      <c r="K179" s="36" t="str">
        <f>D179&amp;"|"&amp;F179</f>
        <v>Cereals|700to900</v>
      </c>
      <c r="L179" s="47"/>
      <c r="M179" s="132"/>
      <c r="N179" s="50"/>
      <c r="O179" s="37"/>
      <c r="P179" s="125"/>
    </row>
    <row r="180" spans="2:16">
      <c r="B180" s="135"/>
      <c r="C180" s="189" t="s">
        <v>227</v>
      </c>
      <c r="D180" s="189" t="s">
        <v>25</v>
      </c>
      <c r="E180" s="189" t="b">
        <v>0</v>
      </c>
      <c r="F180" s="189" t="s">
        <v>8</v>
      </c>
      <c r="G180" s="189" t="s">
        <v>9</v>
      </c>
      <c r="H180" s="46" t="str">
        <f>C180&amp;"|"&amp;D180&amp;"|"&amp;E180&amp;"|"&amp;F180&amp;"|"&amp;G180</f>
        <v>Yare|General|FALSE|600to700|FreeDrain</v>
      </c>
      <c r="I180" s="132">
        <v>0.05198500187869616</v>
      </c>
      <c r="J180" s="50">
        <v>24.767149607047241</v>
      </c>
      <c r="K180" s="36" t="str">
        <f>D180&amp;"|"&amp;F180</f>
        <v>General|600to700</v>
      </c>
      <c r="L180" s="47"/>
      <c r="M180" s="132"/>
      <c r="N180" s="50"/>
      <c r="O180" s="37"/>
      <c r="P180" s="125"/>
    </row>
    <row r="181" spans="2:16">
      <c r="B181" s="135"/>
      <c r="C181" s="189" t="s">
        <v>227</v>
      </c>
      <c r="D181" s="189" t="s">
        <v>25</v>
      </c>
      <c r="E181" s="189" t="b">
        <v>1</v>
      </c>
      <c r="F181" s="189" t="s">
        <v>8</v>
      </c>
      <c r="G181" s="189" t="s">
        <v>9</v>
      </c>
      <c r="H181" s="46" t="str">
        <f>C181&amp;"|"&amp;D181&amp;"|"&amp;E181&amp;"|"&amp;F181&amp;"|"&amp;G181</f>
        <v>Yare|General|TRUE|600to700|FreeDrain</v>
      </c>
      <c r="I181" s="132">
        <v>0.05198500187869616</v>
      </c>
      <c r="J181" s="50">
        <v>24.700984596260902</v>
      </c>
      <c r="K181" s="36" t="str">
        <f>D181&amp;"|"&amp;F181</f>
        <v>General|600to700</v>
      </c>
      <c r="L181" s="47"/>
      <c r="M181" s="132"/>
      <c r="N181" s="50"/>
      <c r="O181" s="37"/>
      <c r="P181" s="125"/>
    </row>
    <row r="182" spans="2:16">
      <c r="B182" s="135"/>
      <c r="C182" s="189" t="s">
        <v>227</v>
      </c>
      <c r="D182" s="189" t="s">
        <v>25</v>
      </c>
      <c r="E182" s="189" t="b">
        <v>0</v>
      </c>
      <c r="F182" s="189" t="s">
        <v>8</v>
      </c>
      <c r="G182" s="189" t="s">
        <v>10</v>
      </c>
      <c r="H182" s="46" t="str">
        <f>C182&amp;"|"&amp;D182&amp;"|"&amp;E182&amp;"|"&amp;F182&amp;"|"&amp;G182</f>
        <v>Yare|General|FALSE|600to700|DrainedAr</v>
      </c>
      <c r="I182" s="132">
        <v>0.28633129853386352</v>
      </c>
      <c r="J182" s="50">
        <v>17.457359930685143</v>
      </c>
      <c r="K182" s="36" t="str">
        <f>D182&amp;"|"&amp;F182</f>
        <v>General|600to700</v>
      </c>
      <c r="L182" s="47"/>
      <c r="M182" s="132"/>
      <c r="N182" s="50"/>
      <c r="O182" s="37"/>
      <c r="P182" s="125"/>
    </row>
    <row r="183" spans="2:16">
      <c r="B183" s="135"/>
      <c r="C183" s="189" t="s">
        <v>227</v>
      </c>
      <c r="D183" s="189" t="s">
        <v>25</v>
      </c>
      <c r="E183" s="189" t="b">
        <v>1</v>
      </c>
      <c r="F183" s="189" t="s">
        <v>8</v>
      </c>
      <c r="G183" s="189" t="s">
        <v>10</v>
      </c>
      <c r="H183" s="46" t="str">
        <f>C183&amp;"|"&amp;D183&amp;"|"&amp;E183&amp;"|"&amp;F183&amp;"|"&amp;G183</f>
        <v>Yare|General|TRUE|600to700|DrainedAr</v>
      </c>
      <c r="I183" s="132">
        <v>0.28633129853386352</v>
      </c>
      <c r="J183" s="50">
        <v>17.414790188386139</v>
      </c>
      <c r="K183" s="36" t="str">
        <f>D183&amp;"|"&amp;F183</f>
        <v>General|600to700</v>
      </c>
      <c r="L183" s="47"/>
      <c r="M183" s="132"/>
      <c r="N183" s="50"/>
      <c r="O183" s="37"/>
      <c r="P183" s="125"/>
    </row>
    <row r="184" spans="2:16">
      <c r="B184" s="135"/>
      <c r="C184" s="189" t="s">
        <v>227</v>
      </c>
      <c r="D184" s="189" t="s">
        <v>25</v>
      </c>
      <c r="E184" s="189" t="b">
        <v>0</v>
      </c>
      <c r="F184" s="189" t="s">
        <v>8</v>
      </c>
      <c r="G184" s="189" t="s">
        <v>11</v>
      </c>
      <c r="H184" s="46" t="str">
        <f>C184&amp;"|"&amp;D184&amp;"|"&amp;E184&amp;"|"&amp;F184&amp;"|"&amp;G184</f>
        <v>Yare|General|FALSE|600to700|DrainedArGr</v>
      </c>
      <c r="I184" s="132">
        <v>0.48944174853120925</v>
      </c>
      <c r="J184" s="50">
        <v>18.203905149709165</v>
      </c>
      <c r="K184" s="36" t="str">
        <f>D184&amp;"|"&amp;F184</f>
        <v>General|600to700</v>
      </c>
      <c r="L184" s="47"/>
      <c r="M184" s="132"/>
      <c r="N184" s="50"/>
      <c r="O184" s="37"/>
      <c r="P184" s="125"/>
    </row>
    <row r="185" spans="2:16">
      <c r="B185" s="135"/>
      <c r="C185" s="189" t="s">
        <v>227</v>
      </c>
      <c r="D185" s="189" t="s">
        <v>25</v>
      </c>
      <c r="E185" s="189" t="b">
        <v>1</v>
      </c>
      <c r="F185" s="189" t="s">
        <v>8</v>
      </c>
      <c r="G185" s="189" t="s">
        <v>11</v>
      </c>
      <c r="H185" s="46" t="str">
        <f>C185&amp;"|"&amp;D185&amp;"|"&amp;E185&amp;"|"&amp;F185&amp;"|"&amp;G185</f>
        <v>Yare|General|TRUE|600to700|DrainedArGr</v>
      </c>
      <c r="I185" s="132">
        <v>0.48944174853120925</v>
      </c>
      <c r="J185" s="50">
        <v>18.162921346874633</v>
      </c>
      <c r="K185" s="36" t="str">
        <f>D185&amp;"|"&amp;F185</f>
        <v>General|600to700</v>
      </c>
      <c r="L185" s="47"/>
      <c r="M185" s="132"/>
      <c r="N185" s="50"/>
      <c r="O185" s="37"/>
      <c r="P185" s="125"/>
    </row>
    <row r="186" spans="2:16">
      <c r="B186" s="135"/>
      <c r="C186" s="189" t="s">
        <v>227</v>
      </c>
      <c r="D186" s="189" t="s">
        <v>25</v>
      </c>
      <c r="E186" s="189" t="b">
        <v>1</v>
      </c>
      <c r="F186" s="189" t="s">
        <v>12</v>
      </c>
      <c r="G186" s="189" t="s">
        <v>10</v>
      </c>
      <c r="H186" s="46" t="str">
        <f>C186&amp;"|"&amp;D186&amp;"|"&amp;E186&amp;"|"&amp;F186&amp;"|"&amp;G186</f>
        <v>Yare|General|TRUE|700to900|DrainedAr</v>
      </c>
      <c r="I186" s="132">
        <v>0.605678561619952</v>
      </c>
      <c r="J186" s="50">
        <v>21.558417111915883</v>
      </c>
      <c r="K186" s="36" t="str">
        <f>D186&amp;"|"&amp;F186</f>
        <v>General|700to900</v>
      </c>
      <c r="L186" s="47"/>
      <c r="M186" s="132"/>
      <c r="N186" s="50"/>
      <c r="O186" s="37"/>
      <c r="P186" s="125"/>
    </row>
    <row r="187" spans="2:16">
      <c r="B187" s="135"/>
      <c r="C187" s="189" t="s">
        <v>227</v>
      </c>
      <c r="D187" s="189" t="s">
        <v>25</v>
      </c>
      <c r="E187" s="189" t="b">
        <v>1</v>
      </c>
      <c r="F187" s="189" t="s">
        <v>12</v>
      </c>
      <c r="G187" s="189" t="s">
        <v>11</v>
      </c>
      <c r="H187" s="46" t="str">
        <f>C187&amp;"|"&amp;D187&amp;"|"&amp;E187&amp;"|"&amp;F187&amp;"|"&amp;G187</f>
        <v>Yare|General|TRUE|700to900|DrainedArGr</v>
      </c>
      <c r="I187" s="132">
        <v>0.84818646877228876</v>
      </c>
      <c r="J187" s="50">
        <v>19.533519400617084</v>
      </c>
      <c r="K187" s="36" t="str">
        <f>D187&amp;"|"&amp;F187</f>
        <v>General|700to900</v>
      </c>
      <c r="L187" s="47"/>
      <c r="M187" s="132"/>
      <c r="N187" s="50"/>
      <c r="O187" s="37"/>
      <c r="P187" s="125"/>
    </row>
    <row r="188" spans="2:16">
      <c r="B188" s="135"/>
      <c r="C188" s="189" t="s">
        <v>227</v>
      </c>
      <c r="D188" s="189" t="s">
        <v>32</v>
      </c>
      <c r="E188" s="189" t="b">
        <v>1</v>
      </c>
      <c r="F188" s="189" t="s">
        <v>8</v>
      </c>
      <c r="G188" s="189" t="s">
        <v>9</v>
      </c>
      <c r="H188" s="46" t="str">
        <f>C188&amp;"|"&amp;D188&amp;"|"&amp;E188&amp;"|"&amp;F188&amp;"|"&amp;G188</f>
        <v>Yare|Horticulture|TRUE|600to700|FreeDrain</v>
      </c>
      <c r="I188" s="132">
        <v>0.0522343731401462</v>
      </c>
      <c r="J188" s="50">
        <v>21.856923693480208</v>
      </c>
      <c r="K188" s="36" t="str">
        <f>D188&amp;"|"&amp;F188</f>
        <v>Horticulture|600to700</v>
      </c>
      <c r="L188" s="47"/>
      <c r="M188" s="132"/>
      <c r="N188" s="50"/>
      <c r="O188" s="37"/>
      <c r="P188" s="125"/>
    </row>
    <row r="189" spans="2:16">
      <c r="B189" s="135"/>
      <c r="C189" s="189" t="s">
        <v>227</v>
      </c>
      <c r="D189" s="189" t="s">
        <v>32</v>
      </c>
      <c r="E189" s="189" t="b">
        <v>1</v>
      </c>
      <c r="F189" s="189" t="s">
        <v>8</v>
      </c>
      <c r="G189" s="189" t="s">
        <v>10</v>
      </c>
      <c r="H189" s="46" t="str">
        <f>C189&amp;"|"&amp;D189&amp;"|"&amp;E189&amp;"|"&amp;F189&amp;"|"&amp;G189</f>
        <v>Yare|Horticulture|TRUE|600to700|DrainedAr</v>
      </c>
      <c r="I189" s="132">
        <v>0.30550054578222169</v>
      </c>
      <c r="J189" s="50">
        <v>15.388424931643879</v>
      </c>
      <c r="K189" s="36" t="str">
        <f>D189&amp;"|"&amp;F189</f>
        <v>Horticulture|600to700</v>
      </c>
      <c r="L189" s="47"/>
      <c r="M189" s="132"/>
      <c r="N189" s="50"/>
      <c r="O189" s="37"/>
      <c r="P189" s="125"/>
    </row>
    <row r="190" spans="2:16">
      <c r="B190" s="135"/>
      <c r="C190" s="189" t="s">
        <v>227</v>
      </c>
      <c r="D190" s="189" t="s">
        <v>32</v>
      </c>
      <c r="E190" s="189" t="b">
        <v>0</v>
      </c>
      <c r="F190" s="189" t="s">
        <v>8</v>
      </c>
      <c r="G190" s="189" t="s">
        <v>11</v>
      </c>
      <c r="H190" s="46" t="str">
        <f>C190&amp;"|"&amp;D190&amp;"|"&amp;E190&amp;"|"&amp;F190&amp;"|"&amp;G190</f>
        <v>Yare|Horticulture|FALSE|600to700|DrainedArGr</v>
      </c>
      <c r="I190" s="132">
        <v>0.520093146789807</v>
      </c>
      <c r="J190" s="50">
        <v>15.99315959287355</v>
      </c>
      <c r="K190" s="36" t="str">
        <f>D190&amp;"|"&amp;F190</f>
        <v>Horticulture|600to700</v>
      </c>
      <c r="L190" s="47"/>
      <c r="M190" s="132"/>
      <c r="N190" s="50"/>
      <c r="O190" s="37"/>
      <c r="P190" s="125"/>
    </row>
    <row r="191" spans="2:16">
      <c r="B191" s="135"/>
      <c r="C191" s="189" t="s">
        <v>227</v>
      </c>
      <c r="D191" s="189" t="s">
        <v>32</v>
      </c>
      <c r="E191" s="189" t="b">
        <v>1</v>
      </c>
      <c r="F191" s="189" t="s">
        <v>8</v>
      </c>
      <c r="G191" s="189" t="s">
        <v>11</v>
      </c>
      <c r="H191" s="46" t="str">
        <f>C191&amp;"|"&amp;D191&amp;"|"&amp;E191&amp;"|"&amp;F191&amp;"|"&amp;G191</f>
        <v>Yare|Horticulture|TRUE|600to700|DrainedArGr</v>
      </c>
      <c r="I191" s="132">
        <v>0.520093146789807</v>
      </c>
      <c r="J191" s="50">
        <v>15.956146316724507</v>
      </c>
      <c r="K191" s="36" t="str">
        <f>D191&amp;"|"&amp;F191</f>
        <v>Horticulture|600to700</v>
      </c>
      <c r="L191" s="47"/>
      <c r="M191" s="132"/>
      <c r="N191" s="50"/>
      <c r="O191" s="37"/>
      <c r="P191" s="125"/>
    </row>
    <row r="192" spans="2:16">
      <c r="B192" s="135"/>
      <c r="C192" s="189" t="s">
        <v>227</v>
      </c>
      <c r="D192" s="189" t="s">
        <v>32</v>
      </c>
      <c r="E192" s="189" t="b">
        <v>1</v>
      </c>
      <c r="F192" s="189" t="s">
        <v>12</v>
      </c>
      <c r="G192" s="189" t="s">
        <v>10</v>
      </c>
      <c r="H192" s="46" t="str">
        <f>C192&amp;"|"&amp;D192&amp;"|"&amp;E192&amp;"|"&amp;F192&amp;"|"&amp;G192</f>
        <v>Yare|Horticulture|TRUE|700to900|DrainedAr</v>
      </c>
      <c r="I192" s="132">
        <v>0.64434818327461829</v>
      </c>
      <c r="J192" s="50">
        <v>19.047218353581222</v>
      </c>
      <c r="K192" s="36" t="str">
        <f>D192&amp;"|"&amp;F192</f>
        <v>Horticulture|700to900</v>
      </c>
      <c r="L192" s="47"/>
      <c r="M192" s="132"/>
      <c r="N192" s="50"/>
      <c r="O192" s="37"/>
      <c r="P192" s="125"/>
    </row>
    <row r="193" spans="2:16">
      <c r="B193" s="135"/>
      <c r="C193" s="189" t="s">
        <v>227</v>
      </c>
      <c r="D193" s="189" t="s">
        <v>42</v>
      </c>
      <c r="E193" s="189" t="b">
        <v>1</v>
      </c>
      <c r="F193" s="189" t="s">
        <v>8</v>
      </c>
      <c r="G193" s="189" t="s">
        <v>9</v>
      </c>
      <c r="H193" s="46" t="str">
        <f>C193&amp;"|"&amp;D193&amp;"|"&amp;E193&amp;"|"&amp;F193&amp;"|"&amp;G193</f>
        <v>Yare|Pig|TRUE|600to700|FreeDrain</v>
      </c>
      <c r="I193" s="132">
        <v>0.079839823205766242</v>
      </c>
      <c r="J193" s="50">
        <v>101.74190472461382</v>
      </c>
      <c r="K193" s="36" t="str">
        <f>D193&amp;"|"&amp;F193</f>
        <v>Pig|600to700</v>
      </c>
      <c r="L193" s="47"/>
      <c r="M193" s="132"/>
      <c r="N193" s="50"/>
      <c r="O193" s="37"/>
      <c r="P193" s="125"/>
    </row>
    <row r="194" spans="2:16">
      <c r="B194" s="135"/>
      <c r="C194" s="189" t="s">
        <v>227</v>
      </c>
      <c r="D194" s="189" t="s">
        <v>42</v>
      </c>
      <c r="E194" s="189" t="b">
        <v>0</v>
      </c>
      <c r="F194" s="189" t="s">
        <v>8</v>
      </c>
      <c r="G194" s="189" t="s">
        <v>10</v>
      </c>
      <c r="H194" s="46" t="str">
        <f>C194&amp;"|"&amp;D194&amp;"|"&amp;E194&amp;"|"&amp;F194&amp;"|"&amp;G194</f>
        <v>Yare|Pig|FALSE|600to700|DrainedAr</v>
      </c>
      <c r="I194" s="132">
        <v>0.38182306322819182</v>
      </c>
      <c r="J194" s="50">
        <v>67.003563707483039</v>
      </c>
      <c r="K194" s="36" t="str">
        <f>D194&amp;"|"&amp;F194</f>
        <v>Pig|600to700</v>
      </c>
      <c r="L194" s="47"/>
      <c r="M194" s="132"/>
      <c r="N194" s="50"/>
      <c r="O194" s="37"/>
      <c r="P194" s="125"/>
    </row>
    <row r="195" spans="2:16">
      <c r="B195" s="135"/>
      <c r="C195" s="189" t="s">
        <v>227</v>
      </c>
      <c r="D195" s="189" t="s">
        <v>42</v>
      </c>
      <c r="E195" s="189" t="b">
        <v>1</v>
      </c>
      <c r="F195" s="189" t="s">
        <v>8</v>
      </c>
      <c r="G195" s="189" t="s">
        <v>10</v>
      </c>
      <c r="H195" s="46" t="str">
        <f>C195&amp;"|"&amp;D195&amp;"|"&amp;E195&amp;"|"&amp;F195&amp;"|"&amp;G195</f>
        <v>Yare|Pig|TRUE|600to700|DrainedAr</v>
      </c>
      <c r="I195" s="132">
        <v>0.35469709333389193</v>
      </c>
      <c r="J195" s="50">
        <v>64.5852066112063</v>
      </c>
      <c r="K195" s="36" t="str">
        <f>D195&amp;"|"&amp;F195</f>
        <v>Pig|600to700</v>
      </c>
      <c r="L195" s="47"/>
      <c r="M195" s="132"/>
      <c r="N195" s="50"/>
      <c r="O195" s="37"/>
      <c r="P195" s="125"/>
    </row>
    <row r="196" spans="2:16">
      <c r="B196" s="135"/>
      <c r="C196" s="189" t="s">
        <v>227</v>
      </c>
      <c r="D196" s="189" t="s">
        <v>42</v>
      </c>
      <c r="E196" s="189" t="b">
        <v>0</v>
      </c>
      <c r="F196" s="189" t="s">
        <v>8</v>
      </c>
      <c r="G196" s="189" t="s">
        <v>11</v>
      </c>
      <c r="H196" s="46" t="str">
        <f>C196&amp;"|"&amp;D196&amp;"|"&amp;E196&amp;"|"&amp;F196&amp;"|"&amp;G196</f>
        <v>Yare|Pig|FALSE|600to700|DrainedArGr</v>
      </c>
      <c r="I196" s="132">
        <v>0.617080647229929</v>
      </c>
      <c r="J196" s="50">
        <v>64.6112288918511</v>
      </c>
      <c r="K196" s="36" t="str">
        <f>D196&amp;"|"&amp;F196</f>
        <v>Pig|600to700</v>
      </c>
      <c r="L196" s="47"/>
      <c r="M196" s="132"/>
      <c r="N196" s="50"/>
      <c r="O196" s="37"/>
      <c r="P196" s="125"/>
    </row>
    <row r="197" spans="2:16">
      <c r="B197" s="135"/>
      <c r="C197" s="189" t="s">
        <v>227</v>
      </c>
      <c r="D197" s="189" t="s">
        <v>42</v>
      </c>
      <c r="E197" s="189" t="b">
        <v>1</v>
      </c>
      <c r="F197" s="189" t="s">
        <v>8</v>
      </c>
      <c r="G197" s="189" t="s">
        <v>11</v>
      </c>
      <c r="H197" s="46" t="str">
        <f>C197&amp;"|"&amp;D197&amp;"|"&amp;E197&amp;"|"&amp;F197&amp;"|"&amp;G197</f>
        <v>Yare|Pig|TRUE|600to700|DrainedArGr</v>
      </c>
      <c r="I197" s="132">
        <v>0.5777352235575095</v>
      </c>
      <c r="J197" s="50">
        <v>60.937117661805068</v>
      </c>
      <c r="K197" s="36" t="str">
        <f>D197&amp;"|"&amp;F197</f>
        <v>Pig|600to700</v>
      </c>
      <c r="L197" s="47"/>
      <c r="M197" s="132"/>
      <c r="N197" s="50"/>
      <c r="O197" s="37"/>
      <c r="P197" s="125"/>
    </row>
    <row r="198" spans="2:16">
      <c r="B198" s="135"/>
      <c r="C198" s="189" t="s">
        <v>227</v>
      </c>
      <c r="D198" s="189" t="s">
        <v>42</v>
      </c>
      <c r="E198" s="189" t="b">
        <v>1</v>
      </c>
      <c r="F198" s="189" t="s">
        <v>12</v>
      </c>
      <c r="G198" s="189" t="s">
        <v>11</v>
      </c>
      <c r="H198" s="46" t="str">
        <f>C198&amp;"|"&amp;D198&amp;"|"&amp;E198&amp;"|"&amp;F198&amp;"|"&amp;G198</f>
        <v>Yare|Pig|TRUE|700to900|DrainedArGr</v>
      </c>
      <c r="I198" s="132">
        <v>1.0023861693571168</v>
      </c>
      <c r="J198" s="50">
        <v>65.707614804629486</v>
      </c>
      <c r="K198" s="36" t="str">
        <f>D198&amp;"|"&amp;F198</f>
        <v>Pig|700to900</v>
      </c>
      <c r="L198" s="47"/>
      <c r="M198" s="132"/>
      <c r="N198" s="50"/>
      <c r="O198" s="37"/>
      <c r="P198" s="125"/>
    </row>
    <row r="199" spans="2:16">
      <c r="B199" s="135"/>
      <c r="C199" s="189" t="s">
        <v>227</v>
      </c>
      <c r="D199" s="189" t="s">
        <v>47</v>
      </c>
      <c r="E199" s="189" t="b">
        <v>1</v>
      </c>
      <c r="F199" s="189" t="s">
        <v>8</v>
      </c>
      <c r="G199" s="189" t="s">
        <v>9</v>
      </c>
      <c r="H199" s="46" t="str">
        <f>C199&amp;"|"&amp;D199&amp;"|"&amp;E199&amp;"|"&amp;F199&amp;"|"&amp;G199</f>
        <v>Yare|Poultry|TRUE|600to700|FreeDrain</v>
      </c>
      <c r="I199" s="132">
        <v>0.15662181103101308</v>
      </c>
      <c r="J199" s="50">
        <v>257.38445724213665</v>
      </c>
      <c r="K199" s="36" t="str">
        <f>D199&amp;"|"&amp;F199</f>
        <v>Poultry|600to700</v>
      </c>
      <c r="L199" s="47"/>
      <c r="M199" s="132"/>
      <c r="N199" s="50"/>
      <c r="O199" s="37"/>
      <c r="P199" s="125"/>
    </row>
    <row r="200" spans="2:16">
      <c r="B200" s="135"/>
      <c r="C200" s="189" t="s">
        <v>227</v>
      </c>
      <c r="D200" s="189" t="s">
        <v>47</v>
      </c>
      <c r="E200" s="189" t="b">
        <v>0</v>
      </c>
      <c r="F200" s="189" t="s">
        <v>8</v>
      </c>
      <c r="G200" s="189" t="s">
        <v>10</v>
      </c>
      <c r="H200" s="46" t="str">
        <f>C200&amp;"|"&amp;D200&amp;"|"&amp;E200&amp;"|"&amp;F200&amp;"|"&amp;G200</f>
        <v>Yare|Poultry|FALSE|600to700|DrainedAr</v>
      </c>
      <c r="I200" s="132">
        <v>0.42682753356948472</v>
      </c>
      <c r="J200" s="50">
        <v>165.418611470063</v>
      </c>
      <c r="K200" s="36" t="str">
        <f>D200&amp;"|"&amp;F200</f>
        <v>Poultry|600to700</v>
      </c>
      <c r="L200" s="47"/>
      <c r="M200" s="132"/>
      <c r="N200" s="50"/>
      <c r="O200" s="37"/>
      <c r="P200" s="125"/>
    </row>
    <row r="201" spans="2:16">
      <c r="B201" s="135"/>
      <c r="C201" s="189" t="s">
        <v>227</v>
      </c>
      <c r="D201" s="189" t="s">
        <v>47</v>
      </c>
      <c r="E201" s="189" t="b">
        <v>1</v>
      </c>
      <c r="F201" s="189" t="s">
        <v>8</v>
      </c>
      <c r="G201" s="189" t="s">
        <v>10</v>
      </c>
      <c r="H201" s="46" t="str">
        <f>C201&amp;"|"&amp;D201&amp;"|"&amp;E201&amp;"|"&amp;F201&amp;"|"&amp;G201</f>
        <v>Yare|Poultry|TRUE|600to700|DrainedAr</v>
      </c>
      <c r="I201" s="132">
        <v>0.39135706650271984</v>
      </c>
      <c r="J201" s="50">
        <v>158.74254749932547</v>
      </c>
      <c r="K201" s="36" t="str">
        <f>D201&amp;"|"&amp;F201</f>
        <v>Poultry|600to700</v>
      </c>
      <c r="L201" s="47"/>
      <c r="M201" s="132"/>
      <c r="N201" s="50"/>
      <c r="O201" s="37"/>
      <c r="P201" s="125"/>
    </row>
    <row r="202" spans="2:16">
      <c r="B202" s="135"/>
      <c r="C202" s="189" t="s">
        <v>227</v>
      </c>
      <c r="D202" s="189" t="s">
        <v>47</v>
      </c>
      <c r="E202" s="189" t="b">
        <v>0</v>
      </c>
      <c r="F202" s="189" t="s">
        <v>8</v>
      </c>
      <c r="G202" s="189" t="s">
        <v>11</v>
      </c>
      <c r="H202" s="46" t="str">
        <f>C202&amp;"|"&amp;D202&amp;"|"&amp;E202&amp;"|"&amp;F202&amp;"|"&amp;G202</f>
        <v>Yare|Poultry|FALSE|600to700|DrainedArGr</v>
      </c>
      <c r="I202" s="132">
        <v>0.64780216220670017</v>
      </c>
      <c r="J202" s="50">
        <v>156.49013219462029</v>
      </c>
      <c r="K202" s="36" t="str">
        <f>D202&amp;"|"&amp;F202</f>
        <v>Poultry|600to700</v>
      </c>
      <c r="L202" s="47"/>
      <c r="M202" s="132"/>
      <c r="N202" s="50"/>
      <c r="O202" s="37"/>
      <c r="P202" s="125"/>
    </row>
    <row r="203" spans="2:16">
      <c r="B203" s="135"/>
      <c r="C203" s="189" t="s">
        <v>227</v>
      </c>
      <c r="D203" s="189" t="s">
        <v>47</v>
      </c>
      <c r="E203" s="189" t="b">
        <v>1</v>
      </c>
      <c r="F203" s="189" t="s">
        <v>8</v>
      </c>
      <c r="G203" s="189" t="s">
        <v>11</v>
      </c>
      <c r="H203" s="46" t="str">
        <f>C203&amp;"|"&amp;D203&amp;"|"&amp;E203&amp;"|"&amp;F203&amp;"|"&amp;G203</f>
        <v>Yare|Poultry|TRUE|600to700|DrainedArGr</v>
      </c>
      <c r="I203" s="132">
        <v>0.59913707974051456</v>
      </c>
      <c r="J203" s="50">
        <v>146.4324361449878</v>
      </c>
      <c r="K203" s="36" t="str">
        <f>D203&amp;"|"&amp;F203</f>
        <v>Poultry|600to700</v>
      </c>
      <c r="L203" s="47"/>
      <c r="M203" s="132"/>
      <c r="N203" s="50"/>
      <c r="O203" s="37"/>
      <c r="P203" s="125"/>
    </row>
    <row r="204" spans="2:16">
      <c r="B204" s="135"/>
      <c r="C204" s="189" t="s">
        <v>227</v>
      </c>
      <c r="D204" s="189" t="s">
        <v>47</v>
      </c>
      <c r="E204" s="189" t="b">
        <v>1</v>
      </c>
      <c r="F204" s="189" t="s">
        <v>12</v>
      </c>
      <c r="G204" s="189" t="s">
        <v>11</v>
      </c>
      <c r="H204" s="46" t="str">
        <f>C204&amp;"|"&amp;D204&amp;"|"&amp;E204&amp;"|"&amp;F204&amp;"|"&amp;G204</f>
        <v>Yare|Poultry|TRUE|700to900|DrainedArGr</v>
      </c>
      <c r="I204" s="132">
        <v>1.0610163917614077</v>
      </c>
      <c r="J204" s="50">
        <v>157.05740292472214</v>
      </c>
      <c r="K204" s="36" t="str">
        <f>D204&amp;"|"&amp;F204</f>
        <v>Poultry|700to900</v>
      </c>
      <c r="L204" s="47"/>
      <c r="M204" s="132"/>
      <c r="N204" s="50"/>
      <c r="O204" s="37"/>
      <c r="P204" s="125"/>
    </row>
    <row r="205" spans="2:16">
      <c r="B205" s="135"/>
      <c r="C205" s="189" t="s">
        <v>227</v>
      </c>
      <c r="D205" s="189" t="s">
        <v>55</v>
      </c>
      <c r="E205" s="189" t="b">
        <v>1</v>
      </c>
      <c r="F205" s="189" t="s">
        <v>8</v>
      </c>
      <c r="G205" s="189" t="s">
        <v>10</v>
      </c>
      <c r="H205" s="46" t="str">
        <f>C205&amp;"|"&amp;D205&amp;"|"&amp;E205&amp;"|"&amp;F205&amp;"|"&amp;G205</f>
        <v>Yare|Dairy|TRUE|600to700|DrainedAr</v>
      </c>
      <c r="I205" s="132">
        <v>0.27326259150906779</v>
      </c>
      <c r="J205" s="50">
        <v>22.717327145982239</v>
      </c>
      <c r="K205" s="36" t="str">
        <f>D205&amp;"|"&amp;F205</f>
        <v>Dairy|600to700</v>
      </c>
      <c r="L205" s="47"/>
      <c r="M205" s="132"/>
      <c r="N205" s="50"/>
      <c r="O205" s="37"/>
      <c r="P205" s="125"/>
    </row>
    <row r="206" spans="2:16">
      <c r="B206" s="135"/>
      <c r="C206" s="189" t="s">
        <v>227</v>
      </c>
      <c r="D206" s="189" t="s">
        <v>55</v>
      </c>
      <c r="E206" s="189" t="b">
        <v>0</v>
      </c>
      <c r="F206" s="189" t="s">
        <v>8</v>
      </c>
      <c r="G206" s="189" t="s">
        <v>11</v>
      </c>
      <c r="H206" s="46" t="str">
        <f>C206&amp;"|"&amp;D206&amp;"|"&amp;E206&amp;"|"&amp;F206&amp;"|"&amp;G206</f>
        <v>Yare|Dairy|FALSE|600to700|DrainedArGr</v>
      </c>
      <c r="I206" s="132">
        <v>0.85284908502272572</v>
      </c>
      <c r="J206" s="50">
        <v>18.643316058823313</v>
      </c>
      <c r="K206" s="36" t="str">
        <f>D206&amp;"|"&amp;F206</f>
        <v>Dairy|600to700</v>
      </c>
      <c r="L206" s="47"/>
      <c r="M206" s="132"/>
      <c r="N206" s="50"/>
      <c r="O206" s="37"/>
      <c r="P206" s="125"/>
    </row>
    <row r="207" spans="2:16">
      <c r="B207" s="135"/>
      <c r="C207" s="189" t="s">
        <v>227</v>
      </c>
      <c r="D207" s="189" t="s">
        <v>55</v>
      </c>
      <c r="E207" s="189" t="b">
        <v>1</v>
      </c>
      <c r="F207" s="189" t="s">
        <v>8</v>
      </c>
      <c r="G207" s="189" t="s">
        <v>11</v>
      </c>
      <c r="H207" s="46" t="str">
        <f>C207&amp;"|"&amp;D207&amp;"|"&amp;E207&amp;"|"&amp;F207&amp;"|"&amp;G207</f>
        <v>Yare|Dairy|TRUE|600to700|DrainedArGr</v>
      </c>
      <c r="I207" s="132">
        <v>0.8285673233227</v>
      </c>
      <c r="J207" s="50">
        <v>18.31041573516962</v>
      </c>
      <c r="K207" s="36" t="str">
        <f>D207&amp;"|"&amp;F207</f>
        <v>Dairy|600to700</v>
      </c>
      <c r="L207" s="47"/>
      <c r="M207" s="132"/>
      <c r="N207" s="50"/>
      <c r="O207" s="37"/>
      <c r="P207" s="125"/>
    </row>
    <row r="208" spans="2:16">
      <c r="B208" s="135"/>
      <c r="C208" s="189" t="s">
        <v>227</v>
      </c>
      <c r="D208" s="189" t="s">
        <v>58</v>
      </c>
      <c r="E208" s="189" t="b">
        <v>1</v>
      </c>
      <c r="F208" s="189" t="s">
        <v>8</v>
      </c>
      <c r="G208" s="189" t="s">
        <v>9</v>
      </c>
      <c r="H208" s="46" t="str">
        <f>C208&amp;"|"&amp;D208&amp;"|"&amp;E208&amp;"|"&amp;F208&amp;"|"&amp;G208</f>
        <v>Yare|Lowland|TRUE|600to700|FreeDrain</v>
      </c>
      <c r="I208" s="132">
        <v>0.088562506800273291</v>
      </c>
      <c r="J208" s="50">
        <v>16.524143460304707</v>
      </c>
      <c r="K208" s="36" t="str">
        <f>D208&amp;"|"&amp;F208</f>
        <v>Lowland|600to700</v>
      </c>
      <c r="L208" s="47"/>
      <c r="M208" s="132"/>
      <c r="N208" s="50"/>
      <c r="O208" s="37"/>
      <c r="P208" s="125"/>
    </row>
    <row r="209" spans="2:16">
      <c r="B209" s="135"/>
      <c r="C209" s="189" t="s">
        <v>227</v>
      </c>
      <c r="D209" s="189" t="s">
        <v>58</v>
      </c>
      <c r="E209" s="189" t="b">
        <v>0</v>
      </c>
      <c r="F209" s="189" t="s">
        <v>8</v>
      </c>
      <c r="G209" s="189" t="s">
        <v>10</v>
      </c>
      <c r="H209" s="46" t="str">
        <f>C209&amp;"|"&amp;D209&amp;"|"&amp;E209&amp;"|"&amp;F209&amp;"|"&amp;G209</f>
        <v>Yare|Lowland|FALSE|600to700|DrainedAr</v>
      </c>
      <c r="I209" s="132">
        <v>0.14533984791376389</v>
      </c>
      <c r="J209" s="50">
        <v>11.321994045701242</v>
      </c>
      <c r="K209" s="36" t="str">
        <f>D209&amp;"|"&amp;F209</f>
        <v>Lowland|600to700</v>
      </c>
      <c r="L209" s="47"/>
      <c r="M209" s="132"/>
      <c r="N209" s="50"/>
      <c r="O209" s="37"/>
      <c r="P209" s="125"/>
    </row>
    <row r="210" spans="2:16">
      <c r="B210" s="135"/>
      <c r="C210" s="189" t="s">
        <v>227</v>
      </c>
      <c r="D210" s="189" t="s">
        <v>58</v>
      </c>
      <c r="E210" s="189" t="b">
        <v>1</v>
      </c>
      <c r="F210" s="189" t="s">
        <v>8</v>
      </c>
      <c r="G210" s="189" t="s">
        <v>10</v>
      </c>
      <c r="H210" s="46" t="str">
        <f>C210&amp;"|"&amp;D210&amp;"|"&amp;E210&amp;"|"&amp;F210&amp;"|"&amp;G210</f>
        <v>Yare|Lowland|TRUE|600to700|DrainedAr</v>
      </c>
      <c r="I210" s="132">
        <v>0.14533951558777081</v>
      </c>
      <c r="J210" s="50">
        <v>11.242506959001089</v>
      </c>
      <c r="K210" s="36" t="str">
        <f>D210&amp;"|"&amp;F210</f>
        <v>Lowland|600to700</v>
      </c>
      <c r="L210" s="47"/>
      <c r="M210" s="132"/>
      <c r="N210" s="50"/>
      <c r="O210" s="37"/>
      <c r="P210" s="125"/>
    </row>
    <row r="211" spans="2:16">
      <c r="B211" s="135"/>
      <c r="C211" s="189" t="s">
        <v>227</v>
      </c>
      <c r="D211" s="189" t="s">
        <v>58</v>
      </c>
      <c r="E211" s="189" t="b">
        <v>0</v>
      </c>
      <c r="F211" s="189" t="s">
        <v>8</v>
      </c>
      <c r="G211" s="189" t="s">
        <v>11</v>
      </c>
      <c r="H211" s="46" t="str">
        <f>C211&amp;"|"&amp;D211&amp;"|"&amp;E211&amp;"|"&amp;F211&amp;"|"&amp;G211</f>
        <v>Yare|Lowland|FALSE|600to700|DrainedArGr</v>
      </c>
      <c r="I211" s="132">
        <v>0.51144404699238089</v>
      </c>
      <c r="J211" s="50">
        <v>9.8738871313107541</v>
      </c>
      <c r="K211" s="36" t="str">
        <f>D211&amp;"|"&amp;F211</f>
        <v>Lowland|600to700</v>
      </c>
      <c r="L211" s="47"/>
      <c r="M211" s="132"/>
      <c r="N211" s="50"/>
      <c r="O211" s="37"/>
      <c r="P211" s="125"/>
    </row>
    <row r="212" spans="2:16">
      <c r="B212" s="135"/>
      <c r="C212" s="189" t="s">
        <v>227</v>
      </c>
      <c r="D212" s="189" t="s">
        <v>58</v>
      </c>
      <c r="E212" s="189" t="b">
        <v>1</v>
      </c>
      <c r="F212" s="189" t="s">
        <v>8</v>
      </c>
      <c r="G212" s="189" t="s">
        <v>11</v>
      </c>
      <c r="H212" s="46" t="str">
        <f>C212&amp;"|"&amp;D212&amp;"|"&amp;E212&amp;"|"&amp;F212&amp;"|"&amp;G212</f>
        <v>Yare|Lowland|TRUE|600to700|DrainedArGr</v>
      </c>
      <c r="I212" s="132">
        <v>0.51141142422508912</v>
      </c>
      <c r="J212" s="50">
        <v>9.845792256727707</v>
      </c>
      <c r="K212" s="36" t="str">
        <f>D212&amp;"|"&amp;F212</f>
        <v>Lowland|600to700</v>
      </c>
      <c r="L212" s="47"/>
      <c r="M212" s="132"/>
      <c r="N212" s="50"/>
      <c r="O212" s="37"/>
      <c r="P212" s="125"/>
    </row>
    <row r="213" spans="2:16">
      <c r="B213" s="135"/>
      <c r="C213" s="189" t="s">
        <v>227</v>
      </c>
      <c r="D213" s="189" t="s">
        <v>58</v>
      </c>
      <c r="E213" s="189" t="b">
        <v>1</v>
      </c>
      <c r="F213" s="189" t="s">
        <v>12</v>
      </c>
      <c r="G213" s="189" t="s">
        <v>10</v>
      </c>
      <c r="H213" s="46" t="str">
        <f>C213&amp;"|"&amp;D213&amp;"|"&amp;E213&amp;"|"&amp;F213&amp;"|"&amp;G213</f>
        <v>Yare|Lowland|TRUE|700to900|DrainedAr</v>
      </c>
      <c r="I213" s="132">
        <v>0.2589307421421943</v>
      </c>
      <c r="J213" s="50">
        <v>17.622767367390828</v>
      </c>
      <c r="K213" s="36" t="str">
        <f>D213&amp;"|"&amp;F213</f>
        <v>Lowland|700to900</v>
      </c>
      <c r="L213" s="47"/>
      <c r="M213" s="132"/>
      <c r="N213" s="50"/>
      <c r="O213" s="37"/>
      <c r="P213" s="125"/>
    </row>
    <row r="214" spans="2:16">
      <c r="B214" s="135"/>
      <c r="C214" s="189" t="s">
        <v>227</v>
      </c>
      <c r="D214" s="189" t="s">
        <v>58</v>
      </c>
      <c r="E214" s="189" t="b">
        <v>1</v>
      </c>
      <c r="F214" s="189" t="s">
        <v>12</v>
      </c>
      <c r="G214" s="189" t="s">
        <v>11</v>
      </c>
      <c r="H214" s="46" t="str">
        <f>C214&amp;"|"&amp;D214&amp;"|"&amp;E214&amp;"|"&amp;F214&amp;"|"&amp;G214</f>
        <v>Yare|Lowland|TRUE|700to900|DrainedArGr</v>
      </c>
      <c r="I214" s="132">
        <v>0.80230924113098712</v>
      </c>
      <c r="J214" s="50">
        <v>11.909657403584529</v>
      </c>
      <c r="K214" s="36" t="str">
        <f>D214&amp;"|"&amp;F214</f>
        <v>Lowland|700to900</v>
      </c>
      <c r="L214" s="47"/>
      <c r="M214" s="132"/>
      <c r="N214" s="50"/>
      <c r="O214" s="37"/>
      <c r="P214" s="125"/>
    </row>
    <row r="215" spans="2:16">
      <c r="B215" s="135"/>
      <c r="C215" s="189" t="s">
        <v>227</v>
      </c>
      <c r="D215" s="189" t="s">
        <v>59</v>
      </c>
      <c r="E215" s="189" t="b">
        <v>1</v>
      </c>
      <c r="F215" s="189" t="s">
        <v>8</v>
      </c>
      <c r="G215" s="189" t="s">
        <v>9</v>
      </c>
      <c r="H215" s="46" t="str">
        <f>C215&amp;"|"&amp;D215&amp;"|"&amp;E215&amp;"|"&amp;F215&amp;"|"&amp;G215</f>
        <v>Yare|Mixed|TRUE|600to700|FreeDrain</v>
      </c>
      <c r="I215" s="132">
        <v>0.072753716346414671</v>
      </c>
      <c r="J215" s="50">
        <v>30.564771145632243</v>
      </c>
      <c r="K215" s="36" t="str">
        <f>D215&amp;"|"&amp;F215</f>
        <v>Mixed|600to700</v>
      </c>
      <c r="L215" s="47"/>
      <c r="M215" s="132"/>
      <c r="N215" s="50"/>
      <c r="O215" s="37"/>
      <c r="P215" s="125"/>
    </row>
    <row r="216" spans="2:16">
      <c r="B216" s="135"/>
      <c r="C216" s="189" t="s">
        <v>227</v>
      </c>
      <c r="D216" s="189" t="s">
        <v>59</v>
      </c>
      <c r="E216" s="189" t="b">
        <v>0</v>
      </c>
      <c r="F216" s="189" t="s">
        <v>8</v>
      </c>
      <c r="G216" s="189" t="s">
        <v>10</v>
      </c>
      <c r="H216" s="46" t="str">
        <f>C216&amp;"|"&amp;D216&amp;"|"&amp;E216&amp;"|"&amp;F216&amp;"|"&amp;G216</f>
        <v>Yare|Mixed|FALSE|600to700|DrainedAr</v>
      </c>
      <c r="I216" s="132">
        <v>0.29688275013883947</v>
      </c>
      <c r="J216" s="50">
        <v>21.205384211799544</v>
      </c>
      <c r="K216" s="36" t="str">
        <f>D216&amp;"|"&amp;F216</f>
        <v>Mixed|600to700</v>
      </c>
      <c r="L216" s="47"/>
      <c r="M216" s="132"/>
      <c r="N216" s="50"/>
      <c r="O216" s="37"/>
      <c r="P216" s="125"/>
    </row>
    <row r="217" spans="2:16">
      <c r="B217" s="135"/>
      <c r="C217" s="189" t="s">
        <v>227</v>
      </c>
      <c r="D217" s="189" t="s">
        <v>59</v>
      </c>
      <c r="E217" s="189" t="b">
        <v>1</v>
      </c>
      <c r="F217" s="189" t="s">
        <v>8</v>
      </c>
      <c r="G217" s="189" t="s">
        <v>10</v>
      </c>
      <c r="H217" s="46" t="str">
        <f>C217&amp;"|"&amp;D217&amp;"|"&amp;E217&amp;"|"&amp;F217&amp;"|"&amp;G217</f>
        <v>Yare|Mixed|TRUE|600to700|DrainedAr</v>
      </c>
      <c r="I217" s="132">
        <v>0.29439714024280206</v>
      </c>
      <c r="J217" s="50">
        <v>20.94356555995348</v>
      </c>
      <c r="K217" s="36" t="str">
        <f>D217&amp;"|"&amp;F217</f>
        <v>Mixed|600to700</v>
      </c>
      <c r="L217" s="47"/>
      <c r="M217" s="132"/>
      <c r="N217" s="50"/>
      <c r="O217" s="37"/>
      <c r="P217" s="125"/>
    </row>
    <row r="218" spans="2:16">
      <c r="B218" s="135"/>
      <c r="C218" s="189" t="s">
        <v>227</v>
      </c>
      <c r="D218" s="189" t="s">
        <v>59</v>
      </c>
      <c r="E218" s="189" t="b">
        <v>0</v>
      </c>
      <c r="F218" s="189" t="s">
        <v>8</v>
      </c>
      <c r="G218" s="189" t="s">
        <v>11</v>
      </c>
      <c r="H218" s="46" t="str">
        <f>C218&amp;"|"&amp;D218&amp;"|"&amp;E218&amp;"|"&amp;F218&amp;"|"&amp;G218</f>
        <v>Yare|Mixed|FALSE|600to700|DrainedArGr</v>
      </c>
      <c r="I218" s="132">
        <v>0.59336021952959139</v>
      </c>
      <c r="J218" s="50">
        <v>21.190430121696743</v>
      </c>
      <c r="K218" s="36" t="str">
        <f>D218&amp;"|"&amp;F218</f>
        <v>Mixed|600to700</v>
      </c>
      <c r="L218" s="47"/>
      <c r="M218" s="132"/>
      <c r="N218" s="50"/>
      <c r="O218" s="37"/>
      <c r="P218" s="125"/>
    </row>
    <row r="219" spans="2:16">
      <c r="B219" s="135"/>
      <c r="C219" s="189" t="s">
        <v>227</v>
      </c>
      <c r="D219" s="189" t="s">
        <v>59</v>
      </c>
      <c r="E219" s="189" t="b">
        <v>1</v>
      </c>
      <c r="F219" s="189" t="s">
        <v>8</v>
      </c>
      <c r="G219" s="189" t="s">
        <v>11</v>
      </c>
      <c r="H219" s="46" t="str">
        <f>C219&amp;"|"&amp;D219&amp;"|"&amp;E219&amp;"|"&amp;F219&amp;"|"&amp;G219</f>
        <v>Yare|Mixed|TRUE|600to700|DrainedArGr</v>
      </c>
      <c r="I219" s="132">
        <v>0.58867231084784688</v>
      </c>
      <c r="J219" s="50">
        <v>20.841079539881765</v>
      </c>
      <c r="K219" s="36" t="str">
        <f>D219&amp;"|"&amp;F219</f>
        <v>Mixed|600to700</v>
      </c>
      <c r="L219" s="47"/>
      <c r="M219" s="132"/>
      <c r="N219" s="50"/>
      <c r="O219" s="37"/>
      <c r="P219" s="125"/>
    </row>
    <row r="220" spans="2:16">
      <c r="B220" s="135"/>
      <c r="C220" s="189" t="s">
        <v>227</v>
      </c>
      <c r="D220" s="189" t="s">
        <v>59</v>
      </c>
      <c r="E220" s="189" t="b">
        <v>1</v>
      </c>
      <c r="F220" s="189" t="s">
        <v>12</v>
      </c>
      <c r="G220" s="189" t="s">
        <v>10</v>
      </c>
      <c r="H220" s="46" t="str">
        <f>C220&amp;"|"&amp;D220&amp;"|"&amp;E220&amp;"|"&amp;F220&amp;"|"&amp;G220</f>
        <v>Yare|Mixed|TRUE|700to900|DrainedAr</v>
      </c>
      <c r="I220" s="132">
        <v>0.61286541741982492</v>
      </c>
      <c r="J220" s="50">
        <v>27.247544874073792</v>
      </c>
      <c r="K220" s="36" t="str">
        <f>D220&amp;"|"&amp;F220</f>
        <v>Mixed|700to900</v>
      </c>
      <c r="L220" s="47"/>
      <c r="M220" s="132"/>
      <c r="N220" s="50"/>
      <c r="O220" s="37"/>
      <c r="P220" s="125"/>
    </row>
    <row r="221" spans="2:16">
      <c r="B221" s="135"/>
      <c r="C221" s="189" t="s">
        <v>235</v>
      </c>
      <c r="D221" s="189" t="s">
        <v>7</v>
      </c>
      <c r="E221" s="189" t="b">
        <v>0</v>
      </c>
      <c r="F221" s="189" t="s">
        <v>8</v>
      </c>
      <c r="G221" s="189" t="s">
        <v>9</v>
      </c>
      <c r="H221" s="46" t="str">
        <f>C221&amp;"|"&amp;D221&amp;"|"&amp;E221&amp;"|"&amp;F221&amp;"|"&amp;G221</f>
        <v>Bure|Cereals|FALSE|600to700|FreeDrain</v>
      </c>
      <c r="I221" s="132">
        <v>0.061442937587990375</v>
      </c>
      <c r="J221" s="50">
        <v>25.826176420282241</v>
      </c>
      <c r="K221" s="36" t="str">
        <f>D221&amp;"|"&amp;F221</f>
        <v>Cereals|600to700</v>
      </c>
      <c r="L221" s="47"/>
      <c r="M221" s="132"/>
      <c r="N221" s="50"/>
      <c r="O221" s="37"/>
      <c r="P221" s="125"/>
    </row>
    <row r="222" spans="2:16">
      <c r="B222" s="135"/>
      <c r="C222" s="189" t="s">
        <v>235</v>
      </c>
      <c r="D222" s="189" t="s">
        <v>7</v>
      </c>
      <c r="E222" s="189" t="b">
        <v>1</v>
      </c>
      <c r="F222" s="189" t="s">
        <v>8</v>
      </c>
      <c r="G222" s="189" t="s">
        <v>9</v>
      </c>
      <c r="H222" s="46" t="str">
        <f>C222&amp;"|"&amp;D222&amp;"|"&amp;E222&amp;"|"&amp;F222&amp;"|"&amp;G222</f>
        <v>Bure|Cereals|TRUE|600to700|FreeDrain</v>
      </c>
      <c r="I222" s="132">
        <v>0.061424987663969768</v>
      </c>
      <c r="J222" s="50">
        <v>25.751813639298121</v>
      </c>
      <c r="K222" s="36" t="str">
        <f>D222&amp;"|"&amp;F222</f>
        <v>Cereals|600to700</v>
      </c>
      <c r="L222" s="47"/>
      <c r="M222" s="132"/>
      <c r="N222" s="50"/>
      <c r="O222" s="37"/>
      <c r="P222" s="125"/>
    </row>
    <row r="223" spans="2:16">
      <c r="B223" s="135"/>
      <c r="C223" s="189" t="s">
        <v>235</v>
      </c>
      <c r="D223" s="189" t="s">
        <v>7</v>
      </c>
      <c r="E223" s="189" t="b">
        <v>0</v>
      </c>
      <c r="F223" s="189" t="s">
        <v>8</v>
      </c>
      <c r="G223" s="189" t="s">
        <v>10</v>
      </c>
      <c r="H223" s="46" t="str">
        <f>C223&amp;"|"&amp;D223&amp;"|"&amp;E223&amp;"|"&amp;F223&amp;"|"&amp;G223</f>
        <v>Bure|Cereals|FALSE|600to700|DrainedAr</v>
      </c>
      <c r="I223" s="132">
        <v>0.36025183175115832</v>
      </c>
      <c r="J223" s="50">
        <v>18.754590879044081</v>
      </c>
      <c r="K223" s="36" t="str">
        <f>D223&amp;"|"&amp;F223</f>
        <v>Cereals|600to700</v>
      </c>
      <c r="L223" s="47"/>
      <c r="M223" s="132"/>
      <c r="N223" s="50"/>
      <c r="O223" s="37"/>
      <c r="P223" s="125"/>
    </row>
    <row r="224" spans="2:16">
      <c r="B224" s="135"/>
      <c r="C224" s="189" t="s">
        <v>235</v>
      </c>
      <c r="D224" s="189" t="s">
        <v>7</v>
      </c>
      <c r="E224" s="189" t="b">
        <v>1</v>
      </c>
      <c r="F224" s="189" t="s">
        <v>8</v>
      </c>
      <c r="G224" s="189" t="s">
        <v>10</v>
      </c>
      <c r="H224" s="46" t="str">
        <f>C224&amp;"|"&amp;D224&amp;"|"&amp;E224&amp;"|"&amp;F224&amp;"|"&amp;G224</f>
        <v>Bure|Cereals|TRUE|600to700|DrainedAr</v>
      </c>
      <c r="I224" s="132">
        <v>0.36011411895368173</v>
      </c>
      <c r="J224" s="50">
        <v>18.698866083694561</v>
      </c>
      <c r="K224" s="36" t="str">
        <f>D224&amp;"|"&amp;F224</f>
        <v>Cereals|600to700</v>
      </c>
      <c r="L224" s="47"/>
      <c r="M224" s="132"/>
      <c r="N224" s="50"/>
      <c r="O224" s="37"/>
      <c r="P224" s="125"/>
    </row>
    <row r="225" spans="2:16">
      <c r="B225" s="135"/>
      <c r="C225" s="189" t="s">
        <v>235</v>
      </c>
      <c r="D225" s="189" t="s">
        <v>7</v>
      </c>
      <c r="E225" s="189" t="b">
        <v>1</v>
      </c>
      <c r="F225" s="189" t="s">
        <v>12</v>
      </c>
      <c r="G225" s="189" t="s">
        <v>9</v>
      </c>
      <c r="H225" s="46" t="str">
        <f>C225&amp;"|"&amp;D225&amp;"|"&amp;E225&amp;"|"&amp;F225&amp;"|"&amp;G225</f>
        <v>Bure|Cereals|TRUE|700to900|FreeDrain</v>
      </c>
      <c r="I225" s="132">
        <v>0.17853754389244084</v>
      </c>
      <c r="J225" s="50">
        <v>30.703904042652844</v>
      </c>
      <c r="K225" s="36" t="str">
        <f>D225&amp;"|"&amp;F225</f>
        <v>Cereals|700to900</v>
      </c>
      <c r="L225" s="47"/>
      <c r="M225" s="132"/>
      <c r="N225" s="50"/>
      <c r="O225" s="37"/>
      <c r="P225" s="125"/>
    </row>
    <row r="226" spans="2:16">
      <c r="B226" s="135"/>
      <c r="C226" s="189" t="s">
        <v>235</v>
      </c>
      <c r="D226" s="189" t="s">
        <v>7</v>
      </c>
      <c r="E226" s="189" t="b">
        <v>1</v>
      </c>
      <c r="F226" s="189" t="s">
        <v>12</v>
      </c>
      <c r="G226" s="189" t="s">
        <v>10</v>
      </c>
      <c r="H226" s="46" t="str">
        <f>C226&amp;"|"&amp;D226&amp;"|"&amp;E226&amp;"|"&amp;F226&amp;"|"&amp;G226</f>
        <v>Bure|Cereals|TRUE|700to900|DrainedAr</v>
      </c>
      <c r="I226" s="132">
        <v>0.77313233413857907</v>
      </c>
      <c r="J226" s="50">
        <v>23.29477891996973</v>
      </c>
      <c r="K226" s="36" t="str">
        <f>D226&amp;"|"&amp;F226</f>
        <v>Cereals|700to900</v>
      </c>
      <c r="L226" s="47"/>
      <c r="M226" s="132"/>
      <c r="N226" s="50"/>
      <c r="O226" s="37"/>
      <c r="P226" s="125"/>
    </row>
    <row r="227" spans="2:16">
      <c r="B227" s="135"/>
      <c r="C227" s="189" t="s">
        <v>235</v>
      </c>
      <c r="D227" s="189" t="s">
        <v>7</v>
      </c>
      <c r="E227" s="189" t="b">
        <v>1</v>
      </c>
      <c r="F227" s="189" t="s">
        <v>12</v>
      </c>
      <c r="G227" s="189" t="s">
        <v>11</v>
      </c>
      <c r="H227" s="46" t="str">
        <f>C227&amp;"|"&amp;D227&amp;"|"&amp;E227&amp;"|"&amp;F227&amp;"|"&amp;G227</f>
        <v>Bure|Cereals|TRUE|700to900|DrainedArGr</v>
      </c>
      <c r="I227" s="132">
        <v>1.0422058716407914</v>
      </c>
      <c r="J227" s="50">
        <v>21.566312781466351</v>
      </c>
      <c r="K227" s="36" t="str">
        <f>D227&amp;"|"&amp;F227</f>
        <v>Cereals|700to900</v>
      </c>
      <c r="L227" s="47"/>
      <c r="M227" s="132"/>
      <c r="N227" s="50"/>
      <c r="O227" s="37"/>
      <c r="P227" s="125"/>
    </row>
    <row r="228" spans="2:16">
      <c r="B228" s="135"/>
      <c r="C228" s="189" t="s">
        <v>235</v>
      </c>
      <c r="D228" s="189" t="s">
        <v>7</v>
      </c>
      <c r="E228" s="189" t="b">
        <v>1</v>
      </c>
      <c r="F228" s="189" t="s">
        <v>28</v>
      </c>
      <c r="G228" s="189" t="s">
        <v>9</v>
      </c>
      <c r="H228" s="46" t="str">
        <f>C228&amp;"|"&amp;D228&amp;"|"&amp;E228&amp;"|"&amp;F228&amp;"|"&amp;G228</f>
        <v>Bure|Cereals|TRUE|Over1500|FreeDrain</v>
      </c>
      <c r="I228" s="132">
        <v>0.88624047799891326</v>
      </c>
      <c r="J228" s="50">
        <v>34.138059616848523</v>
      </c>
      <c r="K228" s="36" t="str">
        <f>D228&amp;"|"&amp;F228</f>
        <v>Cereals|Over1500</v>
      </c>
      <c r="L228" s="47">
        <f>AVERAGE(I228,I279,I367)</f>
        <v>1.4234604854419282</v>
      </c>
      <c r="M228" s="132">
        <f>AVERAGE(J228,J279,J367)</f>
        <v>57.510527083908016</v>
      </c>
      <c r="N228" s="50"/>
      <c r="O228" s="37"/>
      <c r="P228" s="125"/>
    </row>
    <row r="229" spans="2:16">
      <c r="B229" s="135"/>
      <c r="C229" s="189" t="s">
        <v>235</v>
      </c>
      <c r="D229" s="189" t="s">
        <v>25</v>
      </c>
      <c r="E229" s="189" t="b">
        <v>0</v>
      </c>
      <c r="F229" s="189" t="s">
        <v>8</v>
      </c>
      <c r="G229" s="189" t="s">
        <v>9</v>
      </c>
      <c r="H229" s="46" t="str">
        <f>C229&amp;"|"&amp;D229&amp;"|"&amp;E229&amp;"|"&amp;F229&amp;"|"&amp;G229</f>
        <v>Bure|General|FALSE|600to700|FreeDrain</v>
      </c>
      <c r="I229" s="132">
        <v>0.054131317530677875</v>
      </c>
      <c r="J229" s="50">
        <v>27.800501004141072</v>
      </c>
      <c r="K229" s="36" t="str">
        <f>D229&amp;"|"&amp;F229</f>
        <v>General|600to700</v>
      </c>
      <c r="L229" s="47"/>
      <c r="M229" s="132"/>
      <c r="N229" s="50"/>
      <c r="O229" s="37"/>
      <c r="P229" s="125"/>
    </row>
    <row r="230" spans="2:16">
      <c r="B230" s="135"/>
      <c r="C230" s="189" t="s">
        <v>235</v>
      </c>
      <c r="D230" s="189" t="s">
        <v>25</v>
      </c>
      <c r="E230" s="189" t="b">
        <v>1</v>
      </c>
      <c r="F230" s="189" t="s">
        <v>8</v>
      </c>
      <c r="G230" s="189" t="s">
        <v>9</v>
      </c>
      <c r="H230" s="46" t="str">
        <f>C230&amp;"|"&amp;D230&amp;"|"&amp;E230&amp;"|"&amp;F230&amp;"|"&amp;G230</f>
        <v>Bure|General|TRUE|600to700|FreeDrain</v>
      </c>
      <c r="I230" s="132">
        <v>0.054131317530677875</v>
      </c>
      <c r="J230" s="50">
        <v>27.729664627031806</v>
      </c>
      <c r="K230" s="36" t="str">
        <f>D230&amp;"|"&amp;F230</f>
        <v>General|600to700</v>
      </c>
      <c r="L230" s="47"/>
      <c r="M230" s="132"/>
      <c r="N230" s="50"/>
      <c r="O230" s="37"/>
      <c r="P230" s="125"/>
    </row>
    <row r="231" spans="2:16">
      <c r="B231" s="135"/>
      <c r="C231" s="189" t="s">
        <v>235</v>
      </c>
      <c r="D231" s="189" t="s">
        <v>25</v>
      </c>
      <c r="E231" s="189" t="b">
        <v>0</v>
      </c>
      <c r="F231" s="189" t="s">
        <v>8</v>
      </c>
      <c r="G231" s="189" t="s">
        <v>10</v>
      </c>
      <c r="H231" s="46" t="str">
        <f>C231&amp;"|"&amp;D231&amp;"|"&amp;E231&amp;"|"&amp;F231&amp;"|"&amp;G231</f>
        <v>Bure|General|FALSE|600to700|DrainedAr</v>
      </c>
      <c r="I231" s="132">
        <v>0.31560024313398488</v>
      </c>
      <c r="J231" s="50">
        <v>19.401858611704689</v>
      </c>
      <c r="K231" s="36" t="str">
        <f>D231&amp;"|"&amp;F231</f>
        <v>General|600to700</v>
      </c>
      <c r="L231" s="47"/>
      <c r="M231" s="132"/>
      <c r="N231" s="50"/>
      <c r="O231" s="37"/>
      <c r="P231" s="125"/>
    </row>
    <row r="232" spans="2:16">
      <c r="B232" s="135"/>
      <c r="C232" s="189" t="s">
        <v>235</v>
      </c>
      <c r="D232" s="189" t="s">
        <v>25</v>
      </c>
      <c r="E232" s="189" t="b">
        <v>1</v>
      </c>
      <c r="F232" s="189" t="s">
        <v>8</v>
      </c>
      <c r="G232" s="189" t="s">
        <v>10</v>
      </c>
      <c r="H232" s="46" t="str">
        <f>C232&amp;"|"&amp;D232&amp;"|"&amp;E232&amp;"|"&amp;F232&amp;"|"&amp;G232</f>
        <v>Bure|General|TRUE|600to700|DrainedAr</v>
      </c>
      <c r="I232" s="132">
        <v>0.31560024313398488</v>
      </c>
      <c r="J232" s="50">
        <v>19.356170310205616</v>
      </c>
      <c r="K232" s="36" t="str">
        <f>D232&amp;"|"&amp;F232</f>
        <v>General|600to700</v>
      </c>
      <c r="L232" s="47"/>
      <c r="M232" s="132"/>
      <c r="N232" s="50"/>
      <c r="O232" s="37"/>
      <c r="P232" s="125"/>
    </row>
    <row r="233" spans="2:16">
      <c r="B233" s="135"/>
      <c r="C233" s="189" t="s">
        <v>235</v>
      </c>
      <c r="D233" s="189" t="s">
        <v>25</v>
      </c>
      <c r="E233" s="189" t="b">
        <v>1</v>
      </c>
      <c r="F233" s="189" t="s">
        <v>12</v>
      </c>
      <c r="G233" s="189" t="s">
        <v>9</v>
      </c>
      <c r="H233" s="46" t="str">
        <f>C233&amp;"|"&amp;D233&amp;"|"&amp;E233&amp;"|"&amp;F233&amp;"|"&amp;G233</f>
        <v>Bure|General|TRUE|700to900|FreeDrain</v>
      </c>
      <c r="I233" s="132">
        <v>0.15396129777683171</v>
      </c>
      <c r="J233" s="50">
        <v>32.896634728373535</v>
      </c>
      <c r="K233" s="36" t="str">
        <f>D233&amp;"|"&amp;F233</f>
        <v>General|700to900</v>
      </c>
      <c r="L233" s="47"/>
      <c r="M233" s="132"/>
      <c r="N233" s="50"/>
      <c r="O233" s="37"/>
      <c r="P233" s="125"/>
    </row>
    <row r="234" spans="2:16">
      <c r="B234" s="135"/>
      <c r="C234" s="189" t="s">
        <v>235</v>
      </c>
      <c r="D234" s="189" t="s">
        <v>25</v>
      </c>
      <c r="E234" s="189" t="b">
        <v>1</v>
      </c>
      <c r="F234" s="189" t="s">
        <v>12</v>
      </c>
      <c r="G234" s="189" t="s">
        <v>10</v>
      </c>
      <c r="H234" s="46" t="str">
        <f>C234&amp;"|"&amp;D234&amp;"|"&amp;E234&amp;"|"&amp;F234&amp;"|"&amp;G234</f>
        <v>Bure|General|TRUE|700to900|DrainedAr</v>
      </c>
      <c r="I234" s="132">
        <v>0.65196339349205124</v>
      </c>
      <c r="J234" s="50">
        <v>23.828122798512187</v>
      </c>
      <c r="K234" s="36" t="str">
        <f>D234&amp;"|"&amp;F234</f>
        <v>General|700to900</v>
      </c>
      <c r="L234" s="47"/>
      <c r="M234" s="132"/>
      <c r="N234" s="50"/>
      <c r="O234" s="37"/>
      <c r="P234" s="125"/>
    </row>
    <row r="235" spans="2:16">
      <c r="B235" s="135"/>
      <c r="C235" s="189" t="s">
        <v>235</v>
      </c>
      <c r="D235" s="189" t="s">
        <v>25</v>
      </c>
      <c r="E235" s="189" t="b">
        <v>1</v>
      </c>
      <c r="F235" s="189" t="s">
        <v>12</v>
      </c>
      <c r="G235" s="189" t="s">
        <v>11</v>
      </c>
      <c r="H235" s="46" t="str">
        <f>C235&amp;"|"&amp;D235&amp;"|"&amp;E235&amp;"|"&amp;F235&amp;"|"&amp;G235</f>
        <v>Bure|General|TRUE|700to900|DrainedArGr</v>
      </c>
      <c r="I235" s="132">
        <v>0.90597636255834724</v>
      </c>
      <c r="J235" s="50">
        <v>21.378218054026917</v>
      </c>
      <c r="K235" s="36" t="str">
        <f>D235&amp;"|"&amp;F235</f>
        <v>General|700to900</v>
      </c>
      <c r="L235" s="47"/>
      <c r="M235" s="132"/>
      <c r="N235" s="50"/>
      <c r="O235" s="37"/>
      <c r="P235" s="125"/>
    </row>
    <row r="236" spans="2:16">
      <c r="B236" s="135"/>
      <c r="C236" s="189" t="s">
        <v>235</v>
      </c>
      <c r="D236" s="189" t="s">
        <v>25</v>
      </c>
      <c r="E236" s="189" t="b">
        <v>1</v>
      </c>
      <c r="F236" s="189" t="s">
        <v>28</v>
      </c>
      <c r="G236" s="189" t="s">
        <v>9</v>
      </c>
      <c r="H236" s="46" t="str">
        <f>C236&amp;"|"&amp;D236&amp;"|"&amp;E236&amp;"|"&amp;F236&amp;"|"&amp;G236</f>
        <v>Bure|General|TRUE|Over1500|FreeDrain</v>
      </c>
      <c r="I236" s="132">
        <v>0.78061191401139507</v>
      </c>
      <c r="J236" s="50">
        <v>36.162918098623678</v>
      </c>
      <c r="K236" s="36" t="str">
        <f>D236&amp;"|"&amp;F236</f>
        <v>General|Over1500</v>
      </c>
      <c r="L236" s="47">
        <f>AVERAGE(I236,I292,I380)</f>
        <v>0.86141816340259647</v>
      </c>
      <c r="M236" s="132">
        <f>AVERAGE(J236,J292,J380)</f>
        <v>39.099070155719133</v>
      </c>
      <c r="N236" s="50"/>
      <c r="O236" s="37"/>
      <c r="P236" s="125"/>
    </row>
    <row r="237" spans="2:16">
      <c r="B237" s="135"/>
      <c r="C237" s="189" t="s">
        <v>235</v>
      </c>
      <c r="D237" s="189" t="s">
        <v>32</v>
      </c>
      <c r="E237" s="189" t="b">
        <v>0</v>
      </c>
      <c r="F237" s="189" t="s">
        <v>8</v>
      </c>
      <c r="G237" s="189" t="s">
        <v>9</v>
      </c>
      <c r="H237" s="46" t="str">
        <f>C237&amp;"|"&amp;D237&amp;"|"&amp;E237&amp;"|"&amp;F237&amp;"|"&amp;G237</f>
        <v>Bure|Horticulture|FALSE|600to700|FreeDrain</v>
      </c>
      <c r="I237" s="132">
        <v>0.053523986734326817</v>
      </c>
      <c r="J237" s="50">
        <v>22.686981586661744</v>
      </c>
      <c r="K237" s="36" t="str">
        <f>D237&amp;"|"&amp;F237</f>
        <v>Horticulture|600to700</v>
      </c>
      <c r="L237" s="47"/>
      <c r="M237" s="132"/>
      <c r="N237" s="50"/>
      <c r="O237" s="37"/>
      <c r="P237" s="125"/>
    </row>
    <row r="238" spans="2:16">
      <c r="B238" s="135"/>
      <c r="C238" s="189" t="s">
        <v>235</v>
      </c>
      <c r="D238" s="189" t="s">
        <v>32</v>
      </c>
      <c r="E238" s="189" t="b">
        <v>1</v>
      </c>
      <c r="F238" s="189" t="s">
        <v>8</v>
      </c>
      <c r="G238" s="189" t="s">
        <v>9</v>
      </c>
      <c r="H238" s="46" t="str">
        <f>C238&amp;"|"&amp;D238&amp;"|"&amp;E238&amp;"|"&amp;F238&amp;"|"&amp;G238</f>
        <v>Bure|Horticulture|TRUE|600to700|FreeDrain</v>
      </c>
      <c r="I238" s="132">
        <v>0.053523986734326817</v>
      </c>
      <c r="J238" s="50">
        <v>22.632464892440566</v>
      </c>
      <c r="K238" s="36" t="str">
        <f>D238&amp;"|"&amp;F238</f>
        <v>Horticulture|600to700</v>
      </c>
      <c r="L238" s="47"/>
      <c r="M238" s="132"/>
      <c r="N238" s="50"/>
      <c r="O238" s="37"/>
      <c r="P238" s="125"/>
    </row>
    <row r="239" spans="2:16">
      <c r="B239" s="135"/>
      <c r="C239" s="189" t="s">
        <v>235</v>
      </c>
      <c r="D239" s="189" t="s">
        <v>32</v>
      </c>
      <c r="E239" s="189" t="b">
        <v>0</v>
      </c>
      <c r="F239" s="189" t="s">
        <v>8</v>
      </c>
      <c r="G239" s="189" t="s">
        <v>10</v>
      </c>
      <c r="H239" s="46" t="str">
        <f>C239&amp;"|"&amp;D239&amp;"|"&amp;E239&amp;"|"&amp;F239&amp;"|"&amp;G239</f>
        <v>Bure|Horticulture|FALSE|600to700|DrainedAr</v>
      </c>
      <c r="I239" s="132">
        <v>0.33225753589562024</v>
      </c>
      <c r="J239" s="50">
        <v>15.815207013355449</v>
      </c>
      <c r="K239" s="36" t="str">
        <f>D239&amp;"|"&amp;F239</f>
        <v>Horticulture|600to700</v>
      </c>
      <c r="L239" s="47"/>
      <c r="M239" s="132"/>
      <c r="N239" s="50"/>
      <c r="O239" s="37"/>
      <c r="P239" s="125"/>
    </row>
    <row r="240" spans="2:16">
      <c r="B240" s="135"/>
      <c r="C240" s="189" t="s">
        <v>235</v>
      </c>
      <c r="D240" s="189" t="s">
        <v>32</v>
      </c>
      <c r="E240" s="189" t="b">
        <v>1</v>
      </c>
      <c r="F240" s="189" t="s">
        <v>8</v>
      </c>
      <c r="G240" s="189" t="s">
        <v>10</v>
      </c>
      <c r="H240" s="46" t="str">
        <f>C240&amp;"|"&amp;D240&amp;"|"&amp;E240&amp;"|"&amp;F240&amp;"|"&amp;G240</f>
        <v>Bure|Horticulture|TRUE|600to700|DrainedAr</v>
      </c>
      <c r="I240" s="132">
        <v>0.33225753589562024</v>
      </c>
      <c r="J240" s="50">
        <v>15.780151182268028</v>
      </c>
      <c r="K240" s="36" t="str">
        <f>D240&amp;"|"&amp;F240</f>
        <v>Horticulture|600to700</v>
      </c>
      <c r="L240" s="47"/>
      <c r="M240" s="132"/>
      <c r="N240" s="50"/>
      <c r="O240" s="37"/>
      <c r="P240" s="125"/>
    </row>
    <row r="241" spans="2:16">
      <c r="B241" s="135"/>
      <c r="C241" s="189" t="s">
        <v>235</v>
      </c>
      <c r="D241" s="189" t="s">
        <v>32</v>
      </c>
      <c r="E241" s="189" t="b">
        <v>1</v>
      </c>
      <c r="F241" s="189" t="s">
        <v>12</v>
      </c>
      <c r="G241" s="189" t="s">
        <v>9</v>
      </c>
      <c r="H241" s="46" t="str">
        <f>C241&amp;"|"&amp;D241&amp;"|"&amp;E241&amp;"|"&amp;F241&amp;"|"&amp;G241</f>
        <v>Bure|Horticulture|TRUE|700to900|FreeDrain</v>
      </c>
      <c r="I241" s="132">
        <v>0.15706718546301093</v>
      </c>
      <c r="J241" s="50">
        <v>26.786009103132169</v>
      </c>
      <c r="K241" s="36" t="str">
        <f>D241&amp;"|"&amp;F241</f>
        <v>Horticulture|700to900</v>
      </c>
      <c r="L241" s="47"/>
      <c r="M241" s="132"/>
      <c r="N241" s="50"/>
      <c r="O241" s="37"/>
      <c r="P241" s="125"/>
    </row>
    <row r="242" spans="2:16">
      <c r="B242" s="135"/>
      <c r="C242" s="189" t="s">
        <v>235</v>
      </c>
      <c r="D242" s="189" t="s">
        <v>32</v>
      </c>
      <c r="E242" s="189" t="b">
        <v>1</v>
      </c>
      <c r="F242" s="189" t="s">
        <v>12</v>
      </c>
      <c r="G242" s="189" t="s">
        <v>11</v>
      </c>
      <c r="H242" s="46" t="str">
        <f>C242&amp;"|"&amp;D242&amp;"|"&amp;E242&amp;"|"&amp;F242&amp;"|"&amp;G242</f>
        <v>Bure|Horticulture|TRUE|700to900|DrainedArGr</v>
      </c>
      <c r="I242" s="132">
        <v>0.9573711612216298</v>
      </c>
      <c r="J242" s="50">
        <v>17.343765333592803</v>
      </c>
      <c r="K242" s="36" t="str">
        <f>D242&amp;"|"&amp;F242</f>
        <v>Horticulture|700to900</v>
      </c>
      <c r="L242" s="47"/>
      <c r="M242" s="132"/>
      <c r="N242" s="50"/>
      <c r="O242" s="37"/>
      <c r="P242" s="125"/>
    </row>
    <row r="243" spans="2:16">
      <c r="B243" s="135"/>
      <c r="C243" s="189" t="s">
        <v>235</v>
      </c>
      <c r="D243" s="189" t="s">
        <v>42</v>
      </c>
      <c r="E243" s="189" t="b">
        <v>0</v>
      </c>
      <c r="F243" s="189" t="s">
        <v>8</v>
      </c>
      <c r="G243" s="189" t="s">
        <v>9</v>
      </c>
      <c r="H243" s="46" t="str">
        <f>C243&amp;"|"&amp;D243&amp;"|"&amp;E243&amp;"|"&amp;F243&amp;"|"&amp;G243</f>
        <v>Bure|Pig|FALSE|600to700|FreeDrain</v>
      </c>
      <c r="I243" s="132">
        <v>0.083065712484390347</v>
      </c>
      <c r="J243" s="50">
        <v>89.5101495494156</v>
      </c>
      <c r="K243" s="36" t="str">
        <f>D243&amp;"|"&amp;F243</f>
        <v>Pig|600to700</v>
      </c>
      <c r="L243" s="47"/>
      <c r="M243" s="132"/>
      <c r="N243" s="50"/>
      <c r="O243" s="37"/>
      <c r="P243" s="125"/>
    </row>
    <row r="244" spans="2:16">
      <c r="B244" s="135"/>
      <c r="C244" s="189" t="s">
        <v>235</v>
      </c>
      <c r="D244" s="189" t="s">
        <v>42</v>
      </c>
      <c r="E244" s="189" t="b">
        <v>1</v>
      </c>
      <c r="F244" s="189" t="s">
        <v>8</v>
      </c>
      <c r="G244" s="189" t="s">
        <v>9</v>
      </c>
      <c r="H244" s="46" t="str">
        <f>C244&amp;"|"&amp;D244&amp;"|"&amp;E244&amp;"|"&amp;F244&amp;"|"&amp;G244</f>
        <v>Bure|Pig|TRUE|600to700|FreeDrain</v>
      </c>
      <c r="I244" s="132">
        <v>0.079782292938032212</v>
      </c>
      <c r="J244" s="50">
        <v>89.801448606976976</v>
      </c>
      <c r="K244" s="36" t="str">
        <f>D244&amp;"|"&amp;F244</f>
        <v>Pig|600to700</v>
      </c>
      <c r="L244" s="47"/>
      <c r="M244" s="132"/>
      <c r="N244" s="50"/>
      <c r="O244" s="37"/>
      <c r="P244" s="125"/>
    </row>
    <row r="245" spans="2:16">
      <c r="B245" s="135"/>
      <c r="C245" s="189" t="s">
        <v>235</v>
      </c>
      <c r="D245" s="189" t="s">
        <v>42</v>
      </c>
      <c r="E245" s="189" t="b">
        <v>1</v>
      </c>
      <c r="F245" s="189" t="s">
        <v>8</v>
      </c>
      <c r="G245" s="189" t="s">
        <v>10</v>
      </c>
      <c r="H245" s="46" t="str">
        <f>C245&amp;"|"&amp;D245&amp;"|"&amp;E245&amp;"|"&amp;F245&amp;"|"&amp;G245</f>
        <v>Bure|Pig|TRUE|600to700|DrainedAr</v>
      </c>
      <c r="I245" s="132">
        <v>0.37607963013848933</v>
      </c>
      <c r="J245" s="50">
        <v>57.337215111942385</v>
      </c>
      <c r="K245" s="36" t="str">
        <f>D245&amp;"|"&amp;F245</f>
        <v>Pig|600to700</v>
      </c>
      <c r="L245" s="47"/>
      <c r="M245" s="132"/>
      <c r="N245" s="50"/>
      <c r="O245" s="37"/>
      <c r="P245" s="125"/>
    </row>
    <row r="246" spans="2:16">
      <c r="B246" s="135"/>
      <c r="C246" s="189" t="s">
        <v>235</v>
      </c>
      <c r="D246" s="189" t="s">
        <v>42</v>
      </c>
      <c r="E246" s="189" t="b">
        <v>1</v>
      </c>
      <c r="F246" s="189" t="s">
        <v>12</v>
      </c>
      <c r="G246" s="189" t="s">
        <v>9</v>
      </c>
      <c r="H246" s="46" t="str">
        <f>C246&amp;"|"&amp;D246&amp;"|"&amp;E246&amp;"|"&amp;F246&amp;"|"&amp;G246</f>
        <v>Bure|Pig|TRUE|700to900|FreeDrain</v>
      </c>
      <c r="I246" s="132">
        <v>0.20889997989632175</v>
      </c>
      <c r="J246" s="50">
        <v>105.49283940079435</v>
      </c>
      <c r="K246" s="36" t="str">
        <f>D246&amp;"|"&amp;F246</f>
        <v>Pig|700to900</v>
      </c>
      <c r="L246" s="47"/>
      <c r="M246" s="132"/>
      <c r="N246" s="50"/>
      <c r="O246" s="37"/>
      <c r="P246" s="125"/>
    </row>
    <row r="247" spans="2:16">
      <c r="B247" s="135"/>
      <c r="C247" s="189" t="s">
        <v>235</v>
      </c>
      <c r="D247" s="189" t="s">
        <v>47</v>
      </c>
      <c r="E247" s="189" t="b">
        <v>0</v>
      </c>
      <c r="F247" s="189" t="s">
        <v>8</v>
      </c>
      <c r="G247" s="189" t="s">
        <v>9</v>
      </c>
      <c r="H247" s="46" t="str">
        <f>C247&amp;"|"&amp;D247&amp;"|"&amp;E247&amp;"|"&amp;F247&amp;"|"&amp;G247</f>
        <v>Bure|Poultry|FALSE|600to700|FreeDrain</v>
      </c>
      <c r="I247" s="132">
        <v>0.16292459622634481</v>
      </c>
      <c r="J247" s="50">
        <v>227.65880092097703</v>
      </c>
      <c r="K247" s="36" t="str">
        <f>D247&amp;"|"&amp;F247</f>
        <v>Poultry|600to700</v>
      </c>
      <c r="L247" s="47"/>
      <c r="M247" s="132"/>
      <c r="N247" s="50"/>
      <c r="O247" s="37"/>
      <c r="P247" s="125"/>
    </row>
    <row r="248" spans="2:16">
      <c r="B248" s="135"/>
      <c r="C248" s="189" t="s">
        <v>235</v>
      </c>
      <c r="D248" s="189" t="s">
        <v>47</v>
      </c>
      <c r="E248" s="189" t="b">
        <v>1</v>
      </c>
      <c r="F248" s="189" t="s">
        <v>8</v>
      </c>
      <c r="G248" s="189" t="s">
        <v>9</v>
      </c>
      <c r="H248" s="46" t="str">
        <f>C248&amp;"|"&amp;D248&amp;"|"&amp;E248&amp;"|"&amp;F248&amp;"|"&amp;G248</f>
        <v>Bure|Poultry|TRUE|600to700|FreeDrain</v>
      </c>
      <c r="I248" s="132">
        <v>0.15750065408931005</v>
      </c>
      <c r="J248" s="50">
        <v>228.65268310285302</v>
      </c>
      <c r="K248" s="36" t="str">
        <f>D248&amp;"|"&amp;F248</f>
        <v>Poultry|600to700</v>
      </c>
      <c r="L248" s="47"/>
      <c r="M248" s="132"/>
      <c r="N248" s="50"/>
      <c r="O248" s="37"/>
      <c r="P248" s="125"/>
    </row>
    <row r="249" spans="2:16">
      <c r="B249" s="135"/>
      <c r="C249" s="189" t="s">
        <v>235</v>
      </c>
      <c r="D249" s="189" t="s">
        <v>47</v>
      </c>
      <c r="E249" s="189" t="b">
        <v>0</v>
      </c>
      <c r="F249" s="189" t="s">
        <v>8</v>
      </c>
      <c r="G249" s="189" t="s">
        <v>10</v>
      </c>
      <c r="H249" s="46" t="str">
        <f>C249&amp;"|"&amp;D249&amp;"|"&amp;E249&amp;"|"&amp;F249&amp;"|"&amp;G249</f>
        <v>Bure|Poultry|FALSE|600to700|DrainedAr</v>
      </c>
      <c r="I249" s="132">
        <v>0.4436440903554299</v>
      </c>
      <c r="J249" s="50">
        <v>147.62711031931175</v>
      </c>
      <c r="K249" s="36" t="str">
        <f>D249&amp;"|"&amp;F249</f>
        <v>Poultry|600to700</v>
      </c>
      <c r="L249" s="47"/>
      <c r="M249" s="132"/>
      <c r="N249" s="50"/>
      <c r="O249" s="37"/>
      <c r="P249" s="125"/>
    </row>
    <row r="250" spans="2:16">
      <c r="B250" s="135"/>
      <c r="C250" s="189" t="s">
        <v>235</v>
      </c>
      <c r="D250" s="189" t="s">
        <v>47</v>
      </c>
      <c r="E250" s="189" t="b">
        <v>1</v>
      </c>
      <c r="F250" s="189" t="s">
        <v>8</v>
      </c>
      <c r="G250" s="189" t="s">
        <v>10</v>
      </c>
      <c r="H250" s="46" t="str">
        <f>C250&amp;"|"&amp;D250&amp;"|"&amp;E250&amp;"|"&amp;F250&amp;"|"&amp;G250</f>
        <v>Bure|Poultry|TRUE|600to700|DrainedAr</v>
      </c>
      <c r="I250" s="132">
        <v>0.40767297164834015</v>
      </c>
      <c r="J250" s="50">
        <v>141.89935298989138</v>
      </c>
      <c r="K250" s="36" t="str">
        <f>D250&amp;"|"&amp;F250</f>
        <v>Poultry|600to700</v>
      </c>
      <c r="L250" s="47"/>
      <c r="M250" s="132"/>
      <c r="N250" s="50"/>
      <c r="O250" s="37"/>
      <c r="P250" s="125"/>
    </row>
    <row r="251" spans="2:16">
      <c r="B251" s="135"/>
      <c r="C251" s="189" t="s">
        <v>235</v>
      </c>
      <c r="D251" s="189" t="s">
        <v>47</v>
      </c>
      <c r="E251" s="189" t="b">
        <v>1</v>
      </c>
      <c r="F251" s="189" t="s">
        <v>12</v>
      </c>
      <c r="G251" s="189" t="s">
        <v>9</v>
      </c>
      <c r="H251" s="46" t="str">
        <f>C251&amp;"|"&amp;D251&amp;"|"&amp;E251&amp;"|"&amp;F251&amp;"|"&amp;G251</f>
        <v>Bure|Poultry|TRUE|700to900|FreeDrain</v>
      </c>
      <c r="I251" s="132">
        <v>0.34287073764172848</v>
      </c>
      <c r="J251" s="50">
        <v>268.71533598551071</v>
      </c>
      <c r="K251" s="36" t="str">
        <f>D251&amp;"|"&amp;F251</f>
        <v>Poultry|700to900</v>
      </c>
      <c r="L251" s="47"/>
      <c r="M251" s="132"/>
      <c r="N251" s="50"/>
      <c r="O251" s="37"/>
      <c r="P251" s="125"/>
    </row>
    <row r="252" spans="2:16">
      <c r="B252" s="135"/>
      <c r="C252" s="189" t="s">
        <v>235</v>
      </c>
      <c r="D252" s="189" t="s">
        <v>47</v>
      </c>
      <c r="E252" s="189" t="b">
        <v>1</v>
      </c>
      <c r="F252" s="189" t="s">
        <v>12</v>
      </c>
      <c r="G252" s="189" t="s">
        <v>10</v>
      </c>
      <c r="H252" s="46" t="str">
        <f>C252&amp;"|"&amp;D252&amp;"|"&amp;E252&amp;"|"&amp;F252&amp;"|"&amp;G252</f>
        <v>Bure|Poultry|TRUE|700to900|DrainedAr</v>
      </c>
      <c r="I252" s="132">
        <v>0.804151052991767</v>
      </c>
      <c r="J252" s="50">
        <v>175.37423882559389</v>
      </c>
      <c r="K252" s="36" t="str">
        <f>D252&amp;"|"&amp;F252</f>
        <v>Poultry|700to900</v>
      </c>
      <c r="L252" s="47"/>
      <c r="M252" s="132"/>
      <c r="N252" s="50"/>
      <c r="O252" s="37"/>
      <c r="P252" s="125"/>
    </row>
    <row r="253" spans="2:16">
      <c r="B253" s="135"/>
      <c r="C253" s="189" t="s">
        <v>235</v>
      </c>
      <c r="D253" s="189" t="s">
        <v>58</v>
      </c>
      <c r="E253" s="189" t="b">
        <v>0</v>
      </c>
      <c r="F253" s="189" t="s">
        <v>8</v>
      </c>
      <c r="G253" s="189" t="s">
        <v>9</v>
      </c>
      <c r="H253" s="46" t="str">
        <f>C253&amp;"|"&amp;D253&amp;"|"&amp;E253&amp;"|"&amp;F253&amp;"|"&amp;G253</f>
        <v>Bure|Lowland|FALSE|600to700|FreeDrain</v>
      </c>
      <c r="I253" s="132">
        <v>0.10101148393290764</v>
      </c>
      <c r="J253" s="50">
        <v>18.293028037528902</v>
      </c>
      <c r="K253" s="36" t="str">
        <f>D253&amp;"|"&amp;F253</f>
        <v>Lowland|600to700</v>
      </c>
      <c r="L253" s="47"/>
      <c r="M253" s="132"/>
      <c r="N253" s="50"/>
      <c r="O253" s="37"/>
      <c r="P253" s="125"/>
    </row>
    <row r="254" spans="2:16">
      <c r="B254" s="135"/>
      <c r="C254" s="189" t="s">
        <v>235</v>
      </c>
      <c r="D254" s="189" t="s">
        <v>58</v>
      </c>
      <c r="E254" s="189" t="b">
        <v>1</v>
      </c>
      <c r="F254" s="189" t="s">
        <v>8</v>
      </c>
      <c r="G254" s="189" t="s">
        <v>9</v>
      </c>
      <c r="H254" s="46" t="str">
        <f>C254&amp;"|"&amp;D254&amp;"|"&amp;E254&amp;"|"&amp;F254&amp;"|"&amp;G254</f>
        <v>Bure|Lowland|TRUE|600to700|FreeDrain</v>
      </c>
      <c r="I254" s="132">
        <v>0.10101122360176515</v>
      </c>
      <c r="J254" s="50">
        <v>18.153135876822805</v>
      </c>
      <c r="K254" s="36" t="str">
        <f>D254&amp;"|"&amp;F254</f>
        <v>Lowland|600to700</v>
      </c>
      <c r="L254" s="47"/>
      <c r="M254" s="132"/>
      <c r="N254" s="50"/>
      <c r="O254" s="37"/>
      <c r="P254" s="125"/>
    </row>
    <row r="255" spans="2:16">
      <c r="B255" s="135"/>
      <c r="C255" s="189" t="s">
        <v>235</v>
      </c>
      <c r="D255" s="189" t="s">
        <v>58</v>
      </c>
      <c r="E255" s="189" t="b">
        <v>0</v>
      </c>
      <c r="F255" s="189" t="s">
        <v>8</v>
      </c>
      <c r="G255" s="189" t="s">
        <v>10</v>
      </c>
      <c r="H255" s="46" t="str">
        <f>C255&amp;"|"&amp;D255&amp;"|"&amp;E255&amp;"|"&amp;F255&amp;"|"&amp;G255</f>
        <v>Bure|Lowland|FALSE|600to700|DrainedAr</v>
      </c>
      <c r="I255" s="132">
        <v>0.16059024881624509</v>
      </c>
      <c r="J255" s="50">
        <v>12.47983475735484</v>
      </c>
      <c r="K255" s="36" t="str">
        <f>D255&amp;"|"&amp;F255</f>
        <v>Lowland|600to700</v>
      </c>
      <c r="L255" s="47"/>
      <c r="M255" s="132"/>
      <c r="N255" s="50"/>
      <c r="O255" s="37"/>
      <c r="P255" s="125"/>
    </row>
    <row r="256" spans="2:16">
      <c r="B256" s="135"/>
      <c r="C256" s="189" t="s">
        <v>235</v>
      </c>
      <c r="D256" s="189" t="s">
        <v>58</v>
      </c>
      <c r="E256" s="189" t="b">
        <v>1</v>
      </c>
      <c r="F256" s="189" t="s">
        <v>8</v>
      </c>
      <c r="G256" s="189" t="s">
        <v>10</v>
      </c>
      <c r="H256" s="46" t="str">
        <f>C256&amp;"|"&amp;D256&amp;"|"&amp;E256&amp;"|"&amp;F256&amp;"|"&amp;G256</f>
        <v>Bure|Lowland|TRUE|600to700|DrainedAr</v>
      </c>
      <c r="I256" s="132">
        <v>0.16058985617862467</v>
      </c>
      <c r="J256" s="50">
        <v>12.389452951025836</v>
      </c>
      <c r="K256" s="36" t="str">
        <f>D256&amp;"|"&amp;F256</f>
        <v>Lowland|600to700</v>
      </c>
      <c r="L256" s="47"/>
      <c r="M256" s="132"/>
      <c r="N256" s="50"/>
      <c r="O256" s="37"/>
      <c r="P256" s="125"/>
    </row>
    <row r="257" spans="2:16">
      <c r="B257" s="135"/>
      <c r="C257" s="189" t="s">
        <v>235</v>
      </c>
      <c r="D257" s="189" t="s">
        <v>58</v>
      </c>
      <c r="E257" s="189" t="b">
        <v>1</v>
      </c>
      <c r="F257" s="189" t="s">
        <v>12</v>
      </c>
      <c r="G257" s="189" t="s">
        <v>9</v>
      </c>
      <c r="H257" s="46" t="str">
        <f>C257&amp;"|"&amp;D257&amp;"|"&amp;E257&amp;"|"&amp;F257&amp;"|"&amp;G257</f>
        <v>Bure|Lowland|TRUE|700to900|FreeDrain</v>
      </c>
      <c r="I257" s="132">
        <v>0.16744210145680832</v>
      </c>
      <c r="J257" s="50">
        <v>24.997180635641929</v>
      </c>
      <c r="K257" s="36" t="str">
        <f>D257&amp;"|"&amp;F257</f>
        <v>Lowland|700to900</v>
      </c>
      <c r="L257" s="47"/>
      <c r="M257" s="132"/>
      <c r="N257" s="50"/>
      <c r="O257" s="37"/>
      <c r="P257" s="125"/>
    </row>
    <row r="258" spans="2:16">
      <c r="B258" s="135"/>
      <c r="C258" s="189" t="s">
        <v>235</v>
      </c>
      <c r="D258" s="189" t="s">
        <v>58</v>
      </c>
      <c r="E258" s="189" t="b">
        <v>1</v>
      </c>
      <c r="F258" s="189" t="s">
        <v>12</v>
      </c>
      <c r="G258" s="189" t="s">
        <v>10</v>
      </c>
      <c r="H258" s="46" t="str">
        <f>C258&amp;"|"&amp;D258&amp;"|"&amp;E258&amp;"|"&amp;F258&amp;"|"&amp;G258</f>
        <v>Bure|Lowland|TRUE|700to900|DrainedAr</v>
      </c>
      <c r="I258" s="132">
        <v>0.27909129087967255</v>
      </c>
      <c r="J258" s="50">
        <v>19.502308692355157</v>
      </c>
      <c r="K258" s="36" t="str">
        <f>D258&amp;"|"&amp;F258</f>
        <v>Lowland|700to900</v>
      </c>
      <c r="L258" s="47"/>
      <c r="M258" s="132"/>
      <c r="N258" s="50"/>
      <c r="O258" s="37"/>
      <c r="P258" s="125"/>
    </row>
    <row r="259" spans="2:16">
      <c r="B259" s="135"/>
      <c r="C259" s="189" t="s">
        <v>235</v>
      </c>
      <c r="D259" s="189" t="s">
        <v>58</v>
      </c>
      <c r="E259" s="189" t="b">
        <v>1</v>
      </c>
      <c r="F259" s="189" t="s">
        <v>12</v>
      </c>
      <c r="G259" s="189" t="s">
        <v>11</v>
      </c>
      <c r="H259" s="46" t="str">
        <f>C259&amp;"|"&amp;D259&amp;"|"&amp;E259&amp;"|"&amp;F259&amp;"|"&amp;G259</f>
        <v>Bure|Lowland|TRUE|700to900|DrainedArGr</v>
      </c>
      <c r="I259" s="132">
        <v>0.8512532472101656</v>
      </c>
      <c r="J259" s="50">
        <v>13.142658614433737</v>
      </c>
      <c r="K259" s="36" t="str">
        <f>D259&amp;"|"&amp;F259</f>
        <v>Lowland|700to900</v>
      </c>
      <c r="L259" s="47"/>
      <c r="M259" s="132"/>
      <c r="N259" s="50"/>
      <c r="O259" s="37"/>
      <c r="P259" s="125"/>
    </row>
    <row r="260" spans="2:16">
      <c r="B260" s="135"/>
      <c r="C260" s="189" t="s">
        <v>235</v>
      </c>
      <c r="D260" s="189" t="s">
        <v>58</v>
      </c>
      <c r="E260" s="189" t="b">
        <v>1</v>
      </c>
      <c r="F260" s="189" t="s">
        <v>28</v>
      </c>
      <c r="G260" s="189" t="s">
        <v>10</v>
      </c>
      <c r="H260" s="46" t="str">
        <f>C260&amp;"|"&amp;D260&amp;"|"&amp;E260&amp;"|"&amp;F260&amp;"|"&amp;G260</f>
        <v>Bure|Lowland|TRUE|Over1500|DrainedAr</v>
      </c>
      <c r="I260" s="132">
        <v>0.95186879262326984</v>
      </c>
      <c r="J260" s="50">
        <v>31.122522586829842</v>
      </c>
      <c r="K260" s="36" t="str">
        <f>D260&amp;"|"&amp;F260</f>
        <v>Lowland|Over1500</v>
      </c>
      <c r="L260" s="47">
        <f>AVERAGE(I260,I343,I431)</f>
        <v>0.75623933661453835</v>
      </c>
      <c r="M260" s="132">
        <f>AVERAGE(J260,J343,J431)</f>
        <v>24.348227361169815</v>
      </c>
      <c r="N260" s="50"/>
      <c r="O260" s="37"/>
      <c r="P260" s="125"/>
    </row>
    <row r="261" spans="2:16">
      <c r="B261" s="135"/>
      <c r="C261" s="189" t="s">
        <v>235</v>
      </c>
      <c r="D261" s="189" t="s">
        <v>59</v>
      </c>
      <c r="E261" s="189" t="b">
        <v>0</v>
      </c>
      <c r="F261" s="189" t="s">
        <v>8</v>
      </c>
      <c r="G261" s="189" t="s">
        <v>9</v>
      </c>
      <c r="H261" s="46" t="str">
        <f>C261&amp;"|"&amp;D261&amp;"|"&amp;E261&amp;"|"&amp;F261&amp;"|"&amp;G261</f>
        <v>Bure|Mixed|FALSE|600to700|FreeDrain</v>
      </c>
      <c r="I261" s="132">
        <v>0.09203822992319699</v>
      </c>
      <c r="J261" s="50">
        <v>34.737940215626395</v>
      </c>
      <c r="K261" s="36" t="str">
        <f>D261&amp;"|"&amp;F261</f>
        <v>Mixed|600to700</v>
      </c>
      <c r="L261" s="47"/>
      <c r="M261" s="132"/>
      <c r="N261" s="50"/>
      <c r="O261" s="37"/>
      <c r="P261" s="125"/>
    </row>
    <row r="262" spans="2:16">
      <c r="B262" s="135"/>
      <c r="C262" s="189" t="s">
        <v>235</v>
      </c>
      <c r="D262" s="189" t="s">
        <v>59</v>
      </c>
      <c r="E262" s="189" t="b">
        <v>1</v>
      </c>
      <c r="F262" s="189" t="s">
        <v>8</v>
      </c>
      <c r="G262" s="189" t="s">
        <v>9</v>
      </c>
      <c r="H262" s="46" t="str">
        <f>C262&amp;"|"&amp;D262&amp;"|"&amp;E262&amp;"|"&amp;F262&amp;"|"&amp;G262</f>
        <v>Bure|Mixed|TRUE|600to700|FreeDrain</v>
      </c>
      <c r="I262" s="132">
        <v>0.091614268606774463</v>
      </c>
      <c r="J262" s="50">
        <v>34.597674322344531</v>
      </c>
      <c r="K262" s="36" t="str">
        <f>D262&amp;"|"&amp;F262</f>
        <v>Mixed|600to700</v>
      </c>
      <c r="L262" s="47"/>
      <c r="M262" s="132"/>
      <c r="N262" s="50"/>
      <c r="O262" s="37"/>
      <c r="P262" s="125"/>
    </row>
    <row r="263" spans="2:16">
      <c r="B263" s="135"/>
      <c r="C263" s="189" t="s">
        <v>235</v>
      </c>
      <c r="D263" s="189" t="s">
        <v>59</v>
      </c>
      <c r="E263" s="189" t="b">
        <v>0</v>
      </c>
      <c r="F263" s="189" t="s">
        <v>8</v>
      </c>
      <c r="G263" s="189" t="s">
        <v>10</v>
      </c>
      <c r="H263" s="46" t="str">
        <f>C263&amp;"|"&amp;D263&amp;"|"&amp;E263&amp;"|"&amp;F263&amp;"|"&amp;G263</f>
        <v>Bure|Mixed|FALSE|600to700|DrainedAr</v>
      </c>
      <c r="I263" s="132">
        <v>0.33487545487162995</v>
      </c>
      <c r="J263" s="50">
        <v>23.846222855768328</v>
      </c>
      <c r="K263" s="36" t="str">
        <f>D263&amp;"|"&amp;F263</f>
        <v>Mixed|600to700</v>
      </c>
      <c r="L263" s="47"/>
      <c r="M263" s="132"/>
      <c r="N263" s="50"/>
      <c r="O263" s="37"/>
      <c r="P263" s="125"/>
    </row>
    <row r="264" spans="2:16">
      <c r="B264" s="135"/>
      <c r="C264" s="189" t="s">
        <v>235</v>
      </c>
      <c r="D264" s="189" t="s">
        <v>59</v>
      </c>
      <c r="E264" s="189" t="b">
        <v>1</v>
      </c>
      <c r="F264" s="189" t="s">
        <v>8</v>
      </c>
      <c r="G264" s="189" t="s">
        <v>10</v>
      </c>
      <c r="H264" s="46" t="str">
        <f>C264&amp;"|"&amp;D264&amp;"|"&amp;E264&amp;"|"&amp;F264&amp;"|"&amp;G264</f>
        <v>Bure|Mixed|TRUE|600to700|DrainedAr</v>
      </c>
      <c r="I264" s="132">
        <v>0.33180815439749189</v>
      </c>
      <c r="J264" s="50">
        <v>23.563571980471774</v>
      </c>
      <c r="K264" s="36" t="str">
        <f>D264&amp;"|"&amp;F264</f>
        <v>Mixed|600to700</v>
      </c>
      <c r="L264" s="47"/>
      <c r="M264" s="132"/>
      <c r="N264" s="50"/>
      <c r="O264" s="37"/>
      <c r="P264" s="125"/>
    </row>
    <row r="265" spans="2:16">
      <c r="B265" s="135"/>
      <c r="C265" s="189" t="s">
        <v>235</v>
      </c>
      <c r="D265" s="189" t="s">
        <v>59</v>
      </c>
      <c r="E265" s="189" t="b">
        <v>1</v>
      </c>
      <c r="F265" s="189" t="s">
        <v>12</v>
      </c>
      <c r="G265" s="189" t="s">
        <v>9</v>
      </c>
      <c r="H265" s="46" t="str">
        <f>C265&amp;"|"&amp;D265&amp;"|"&amp;E265&amp;"|"&amp;F265&amp;"|"&amp;G265</f>
        <v>Bure|Mixed|TRUE|700to900|FreeDrain</v>
      </c>
      <c r="I265" s="132">
        <v>0.20145917376791883</v>
      </c>
      <c r="J265" s="50">
        <v>42.9057574936807</v>
      </c>
      <c r="K265" s="36" t="str">
        <f>D265&amp;"|"&amp;F265</f>
        <v>Mixed|700to900</v>
      </c>
      <c r="L265" s="47"/>
      <c r="M265" s="132"/>
      <c r="N265" s="50"/>
      <c r="O265" s="37"/>
      <c r="P265" s="125"/>
    </row>
    <row r="266" spans="2:16">
      <c r="B266" s="135"/>
      <c r="C266" s="189" t="s">
        <v>235</v>
      </c>
      <c r="D266" s="189" t="s">
        <v>59</v>
      </c>
      <c r="E266" s="189" t="b">
        <v>1</v>
      </c>
      <c r="F266" s="189" t="s">
        <v>12</v>
      </c>
      <c r="G266" s="189" t="s">
        <v>10</v>
      </c>
      <c r="H266" s="46" t="str">
        <f>C266&amp;"|"&amp;D266&amp;"|"&amp;E266&amp;"|"&amp;F266&amp;"|"&amp;G266</f>
        <v>Bure|Mixed|TRUE|700to900|DrainedAr</v>
      </c>
      <c r="I266" s="132">
        <v>0.6686553183652808</v>
      </c>
      <c r="J266" s="50">
        <v>31.31607137880129</v>
      </c>
      <c r="K266" s="36" t="str">
        <f>D266&amp;"|"&amp;F266</f>
        <v>Mixed|700to900</v>
      </c>
      <c r="L266" s="47"/>
      <c r="M266" s="132"/>
      <c r="N266" s="50"/>
      <c r="O266" s="37"/>
      <c r="P266" s="125"/>
    </row>
    <row r="267" spans="2:16">
      <c r="B267" s="135"/>
      <c r="C267" s="189" t="s">
        <v>241</v>
      </c>
      <c r="D267" s="189" t="s">
        <v>7</v>
      </c>
      <c r="E267" s="189" t="b">
        <v>0</v>
      </c>
      <c r="F267" s="189" t="s">
        <v>8</v>
      </c>
      <c r="G267" s="189" t="s">
        <v>9</v>
      </c>
      <c r="H267" s="46" t="str">
        <f>D267&amp;"|"&amp;E267&amp;"|"&amp;F267&amp;"|"&amp;G267</f>
        <v>Cereals|FALSE|600to700|FreeDrain</v>
      </c>
      <c r="I267" s="132">
        <v>0.060592584488517821</v>
      </c>
      <c r="J267" s="50">
        <v>26.397177367212578</v>
      </c>
      <c r="K267" s="36" t="str">
        <f>D267&amp;"|"&amp;F267</f>
        <v>Cereals|600to700</v>
      </c>
      <c r="L267" s="47"/>
      <c r="M267" s="132"/>
      <c r="N267" s="50"/>
      <c r="O267" s="37"/>
      <c r="P267" s="125"/>
    </row>
    <row r="268" spans="2:16">
      <c r="B268" s="135"/>
      <c r="C268" s="189" t="s">
        <v>241</v>
      </c>
      <c r="D268" s="189" t="s">
        <v>7</v>
      </c>
      <c r="E268" s="189" t="b">
        <v>1</v>
      </c>
      <c r="F268" s="189" t="s">
        <v>8</v>
      </c>
      <c r="G268" s="189" t="s">
        <v>9</v>
      </c>
      <c r="H268" s="46" t="str">
        <f>D268&amp;"|"&amp;E268&amp;"|"&amp;F268&amp;"|"&amp;G268</f>
        <v>Cereals|TRUE|600to700|FreeDrain</v>
      </c>
      <c r="I268" s="132">
        <v>0.060582166670006848</v>
      </c>
      <c r="J268" s="50">
        <v>26.317222653587478</v>
      </c>
      <c r="K268" s="36" t="str">
        <f>D268&amp;"|"&amp;F268</f>
        <v>Cereals|600to700</v>
      </c>
      <c r="L268" s="47"/>
      <c r="M268" s="132"/>
      <c r="N268" s="50"/>
      <c r="O268" s="37"/>
      <c r="P268" s="125"/>
    </row>
    <row r="269" spans="2:16">
      <c r="B269" s="135"/>
      <c r="C269" s="189" t="s">
        <v>241</v>
      </c>
      <c r="D269" s="189" t="s">
        <v>7</v>
      </c>
      <c r="E269" s="189" t="b">
        <v>0</v>
      </c>
      <c r="F269" s="189" t="s">
        <v>8</v>
      </c>
      <c r="G269" s="189" t="s">
        <v>10</v>
      </c>
      <c r="H269" s="46" t="str">
        <f>D269&amp;"|"&amp;E269&amp;"|"&amp;F269&amp;"|"&amp;G269</f>
        <v>Cereals|FALSE|600to700|DrainedAr</v>
      </c>
      <c r="I269" s="132">
        <v>0.34188438426249124</v>
      </c>
      <c r="J269" s="50">
        <v>19.282865215133032</v>
      </c>
      <c r="K269" s="36" t="str">
        <f>D269&amp;"|"&amp;F269</f>
        <v>Cereals|600to700</v>
      </c>
      <c r="L269" s="47"/>
      <c r="M269" s="132"/>
      <c r="N269" s="50"/>
      <c r="O269" s="37"/>
      <c r="P269" s="125"/>
    </row>
    <row r="270" spans="2:16">
      <c r="B270" s="135"/>
      <c r="C270" s="189" t="s">
        <v>241</v>
      </c>
      <c r="D270" s="189" t="s">
        <v>7</v>
      </c>
      <c r="E270" s="189" t="b">
        <v>1</v>
      </c>
      <c r="F270" s="189" t="s">
        <v>8</v>
      </c>
      <c r="G270" s="189" t="s">
        <v>10</v>
      </c>
      <c r="H270" s="46" t="str">
        <f>D270&amp;"|"&amp;E270&amp;"|"&amp;F270&amp;"|"&amp;G270</f>
        <v>Cereals|TRUE|600to700|DrainedAr</v>
      </c>
      <c r="I270" s="132">
        <v>0.34181450819707121</v>
      </c>
      <c r="J270" s="50">
        <v>19.226490695617095</v>
      </c>
      <c r="K270" s="36" t="str">
        <f>D270&amp;"|"&amp;F270</f>
        <v>Cereals|600to700</v>
      </c>
      <c r="L270" s="47"/>
      <c r="M270" s="132"/>
      <c r="N270" s="50"/>
      <c r="O270" s="37"/>
      <c r="P270" s="125"/>
    </row>
    <row r="271" spans="2:16">
      <c r="B271" s="135"/>
      <c r="C271" s="189" t="s">
        <v>241</v>
      </c>
      <c r="D271" s="189" t="s">
        <v>7</v>
      </c>
      <c r="E271" s="189" t="b">
        <v>0</v>
      </c>
      <c r="F271" s="189" t="s">
        <v>8</v>
      </c>
      <c r="G271" s="189" t="s">
        <v>11</v>
      </c>
      <c r="H271" s="46" t="str">
        <f>D271&amp;"|"&amp;E271&amp;"|"&amp;F271&amp;"|"&amp;G271</f>
        <v>Cereals|FALSE|600to700|DrainedArGr</v>
      </c>
      <c r="I271" s="132">
        <v>0.56210219059754374</v>
      </c>
      <c r="J271" s="50">
        <v>20.509435372371449</v>
      </c>
      <c r="K271" s="36" t="str">
        <f>D271&amp;"|"&amp;F271</f>
        <v>Cereals|600to700</v>
      </c>
      <c r="L271" s="47"/>
      <c r="M271" s="132"/>
      <c r="N271" s="50"/>
      <c r="O271" s="37"/>
      <c r="P271" s="125"/>
    </row>
    <row r="272" spans="2:16">
      <c r="B272" s="135"/>
      <c r="C272" s="189" t="s">
        <v>241</v>
      </c>
      <c r="D272" s="189" t="s">
        <v>7</v>
      </c>
      <c r="E272" s="189" t="b">
        <v>1</v>
      </c>
      <c r="F272" s="189" t="s">
        <v>8</v>
      </c>
      <c r="G272" s="189" t="s">
        <v>11</v>
      </c>
      <c r="H272" s="46" t="str">
        <f>D272&amp;"|"&amp;E272&amp;"|"&amp;F272&amp;"|"&amp;G272</f>
        <v>Cereals|TRUE|600to700|DrainedArGr</v>
      </c>
      <c r="I272" s="132">
        <v>0.56196578453387513</v>
      </c>
      <c r="J272" s="50">
        <v>20.452687500523627</v>
      </c>
      <c r="K272" s="36" t="str">
        <f>D272&amp;"|"&amp;F272</f>
        <v>Cereals|600to700</v>
      </c>
      <c r="L272" s="47"/>
      <c r="M272" s="132"/>
      <c r="N272" s="50"/>
      <c r="O272" s="37"/>
      <c r="P272" s="125"/>
    </row>
    <row r="273" spans="2:16">
      <c r="B273" s="135"/>
      <c r="C273" s="189" t="s">
        <v>241</v>
      </c>
      <c r="D273" s="189" t="s">
        <v>7</v>
      </c>
      <c r="E273" s="189" t="b">
        <v>0</v>
      </c>
      <c r="F273" s="189" t="s">
        <v>12</v>
      </c>
      <c r="G273" s="189" t="s">
        <v>9</v>
      </c>
      <c r="H273" s="46" t="str">
        <f>D273&amp;"|"&amp;E273&amp;"|"&amp;F273&amp;"|"&amp;G273</f>
        <v>Cereals|FALSE|700to900|FreeDrain</v>
      </c>
      <c r="I273" s="132">
        <v>0.17537728914488418</v>
      </c>
      <c r="J273" s="50">
        <v>31.509091926386176</v>
      </c>
      <c r="K273" s="36" t="str">
        <f>D273&amp;"|"&amp;F273</f>
        <v>Cereals|700to900</v>
      </c>
      <c r="L273" s="47"/>
      <c r="M273" s="132"/>
      <c r="N273" s="50"/>
      <c r="O273" s="37"/>
      <c r="P273" s="125"/>
    </row>
    <row r="274" spans="2:16">
      <c r="B274" s="135"/>
      <c r="C274" s="189" t="s">
        <v>241</v>
      </c>
      <c r="D274" s="189" t="s">
        <v>7</v>
      </c>
      <c r="E274" s="189" t="b">
        <v>1</v>
      </c>
      <c r="F274" s="189" t="s">
        <v>12</v>
      </c>
      <c r="G274" s="189" t="s">
        <v>9</v>
      </c>
      <c r="H274" s="46" t="str">
        <f>D274&amp;"|"&amp;E274&amp;"|"&amp;F274&amp;"|"&amp;G274</f>
        <v>Cereals|TRUE|700to900|FreeDrain</v>
      </c>
      <c r="I274" s="132">
        <v>0.17535803032209482</v>
      </c>
      <c r="J274" s="50">
        <v>31.414366562371431</v>
      </c>
      <c r="K274" s="36" t="str">
        <f>D274&amp;"|"&amp;F274</f>
        <v>Cereals|700to900</v>
      </c>
      <c r="L274" s="47"/>
      <c r="M274" s="132"/>
      <c r="N274" s="50"/>
      <c r="O274" s="37"/>
      <c r="P274" s="125"/>
    </row>
    <row r="275" spans="2:16">
      <c r="B275" s="135"/>
      <c r="C275" s="189" t="s">
        <v>241</v>
      </c>
      <c r="D275" s="189" t="s">
        <v>7</v>
      </c>
      <c r="E275" s="189" t="b">
        <v>0</v>
      </c>
      <c r="F275" s="189" t="s">
        <v>12</v>
      </c>
      <c r="G275" s="189" t="s">
        <v>10</v>
      </c>
      <c r="H275" s="46" t="str">
        <f>D275&amp;"|"&amp;E275&amp;"|"&amp;F275&amp;"|"&amp;G275</f>
        <v>Cereals|FALSE|700to900|DrainedAr</v>
      </c>
      <c r="I275" s="132">
        <v>0.73582926930533388</v>
      </c>
      <c r="J275" s="50">
        <v>24.034498340050803</v>
      </c>
      <c r="K275" s="36" t="str">
        <f>D275&amp;"|"&amp;F275</f>
        <v>Cereals|700to900</v>
      </c>
      <c r="L275" s="47"/>
      <c r="M275" s="132"/>
      <c r="N275" s="50"/>
      <c r="O275" s="37"/>
      <c r="P275" s="125"/>
    </row>
    <row r="276" spans="2:16">
      <c r="B276" s="135"/>
      <c r="C276" s="189" t="s">
        <v>241</v>
      </c>
      <c r="D276" s="189" t="s">
        <v>7</v>
      </c>
      <c r="E276" s="189" t="b">
        <v>1</v>
      </c>
      <c r="F276" s="189" t="s">
        <v>12</v>
      </c>
      <c r="G276" s="189" t="s">
        <v>10</v>
      </c>
      <c r="H276" s="46" t="str">
        <f>D276&amp;"|"&amp;E276&amp;"|"&amp;F276&amp;"|"&amp;G276</f>
        <v>Cereals|TRUE|700to900|DrainedAr</v>
      </c>
      <c r="I276" s="132">
        <v>0.735735906665413</v>
      </c>
      <c r="J276" s="50">
        <v>23.965617110947107</v>
      </c>
      <c r="K276" s="36" t="str">
        <f>D276&amp;"|"&amp;F276</f>
        <v>Cereals|700to900</v>
      </c>
      <c r="L276" s="47"/>
      <c r="M276" s="132"/>
      <c r="N276" s="50"/>
      <c r="O276" s="37"/>
      <c r="P276" s="125"/>
    </row>
    <row r="277" spans="2:16">
      <c r="B277" s="135"/>
      <c r="C277" s="189" t="s">
        <v>241</v>
      </c>
      <c r="D277" s="189" t="s">
        <v>7</v>
      </c>
      <c r="E277" s="189" t="b">
        <v>0</v>
      </c>
      <c r="F277" s="189" t="s">
        <v>12</v>
      </c>
      <c r="G277" s="189" t="s">
        <v>11</v>
      </c>
      <c r="H277" s="46" t="str">
        <f>D277&amp;"|"&amp;E277&amp;"|"&amp;F277&amp;"|"&amp;G277</f>
        <v>Cereals|FALSE|700to900|DrainedArGr</v>
      </c>
      <c r="I277" s="132">
        <v>0.99028045988163893</v>
      </c>
      <c r="J277" s="50">
        <v>22.416158131780392</v>
      </c>
      <c r="K277" s="36" t="str">
        <f>D277&amp;"|"&amp;F277</f>
        <v>Cereals|700to900</v>
      </c>
      <c r="L277" s="47"/>
      <c r="M277" s="132"/>
      <c r="N277" s="50"/>
      <c r="O277" s="37"/>
      <c r="P277" s="125"/>
    </row>
    <row r="278" spans="2:16">
      <c r="B278" s="135"/>
      <c r="C278" s="189" t="s">
        <v>241</v>
      </c>
      <c r="D278" s="189" t="s">
        <v>7</v>
      </c>
      <c r="E278" s="189" t="b">
        <v>1</v>
      </c>
      <c r="F278" s="189" t="s">
        <v>12</v>
      </c>
      <c r="G278" s="189" t="s">
        <v>11</v>
      </c>
      <c r="H278" s="46" t="str">
        <f>D278&amp;"|"&amp;E278&amp;"|"&amp;F278&amp;"|"&amp;G278</f>
        <v>Cereals|TRUE|700to900|DrainedArGr</v>
      </c>
      <c r="I278" s="132">
        <v>0.99010424808601316</v>
      </c>
      <c r="J278" s="50">
        <v>22.357247948876974</v>
      </c>
      <c r="K278" s="36" t="str">
        <f>D278&amp;"|"&amp;F278</f>
        <v>Cereals|700to900</v>
      </c>
      <c r="L278" s="47"/>
      <c r="M278" s="132"/>
      <c r="N278" s="50"/>
      <c r="O278" s="37"/>
      <c r="P278" s="125"/>
    </row>
    <row r="279" spans="2:16">
      <c r="B279" s="135"/>
      <c r="C279" s="189" t="s">
        <v>241</v>
      </c>
      <c r="D279" s="189" t="s">
        <v>7</v>
      </c>
      <c r="E279" s="189" t="b">
        <v>1</v>
      </c>
      <c r="F279" s="189" t="s">
        <v>28</v>
      </c>
      <c r="G279" s="189" t="s">
        <v>9</v>
      </c>
      <c r="H279" s="46" t="str">
        <f>D279&amp;"|"&amp;E279&amp;"|"&amp;F279&amp;"|"&amp;G279</f>
        <v>Cereals|TRUE|Over1500|FreeDrain</v>
      </c>
      <c r="I279" s="132">
        <v>0.8569518283827724</v>
      </c>
      <c r="J279" s="50">
        <v>35.0448111236701</v>
      </c>
      <c r="K279" s="36" t="str">
        <f>D279&amp;"|"&amp;F279</f>
        <v>Cereals|Over1500</v>
      </c>
      <c r="L279" s="47"/>
      <c r="M279" s="132"/>
      <c r="N279" s="50"/>
      <c r="O279" s="37"/>
      <c r="P279" s="125"/>
    </row>
    <row r="280" spans="2:16">
      <c r="B280" s="135"/>
      <c r="C280" s="189" t="s">
        <v>241</v>
      </c>
      <c r="D280" s="189" t="s">
        <v>25</v>
      </c>
      <c r="E280" s="189" t="b">
        <v>0</v>
      </c>
      <c r="F280" s="189" t="s">
        <v>8</v>
      </c>
      <c r="G280" s="189" t="s">
        <v>9</v>
      </c>
      <c r="H280" s="46" t="str">
        <f>D280&amp;"|"&amp;E280&amp;"|"&amp;F280&amp;"|"&amp;G280</f>
        <v>General|FALSE|600to700|FreeDrain</v>
      </c>
      <c r="I280" s="132">
        <v>0.0536024594172587</v>
      </c>
      <c r="J280" s="50">
        <v>26.2887225798954</v>
      </c>
      <c r="K280" s="36" t="str">
        <f>D280&amp;"|"&amp;F280</f>
        <v>General|600to700</v>
      </c>
      <c r="L280" s="47"/>
      <c r="M280" s="132"/>
      <c r="N280" s="50"/>
      <c r="O280" s="37"/>
      <c r="P280" s="125"/>
    </row>
    <row r="281" spans="2:16">
      <c r="B281" s="135"/>
      <c r="C281" s="189" t="s">
        <v>241</v>
      </c>
      <c r="D281" s="189" t="s">
        <v>25</v>
      </c>
      <c r="E281" s="189" t="b">
        <v>1</v>
      </c>
      <c r="F281" s="189" t="s">
        <v>8</v>
      </c>
      <c r="G281" s="189" t="s">
        <v>9</v>
      </c>
      <c r="H281" s="46" t="str">
        <f>D281&amp;"|"&amp;E281&amp;"|"&amp;F281&amp;"|"&amp;G281</f>
        <v>General|TRUE|600to700|FreeDrain</v>
      </c>
      <c r="I281" s="132">
        <v>0.0536024594172587</v>
      </c>
      <c r="J281" s="50">
        <v>26.219874727732513</v>
      </c>
      <c r="K281" s="36" t="str">
        <f>D281&amp;"|"&amp;F281</f>
        <v>General|600to700</v>
      </c>
      <c r="L281" s="47"/>
      <c r="M281" s="132"/>
      <c r="N281" s="50"/>
      <c r="O281" s="37"/>
      <c r="P281" s="125"/>
    </row>
    <row r="282" spans="2:16">
      <c r="B282" s="135"/>
      <c r="C282" s="189" t="s">
        <v>241</v>
      </c>
      <c r="D282" s="189" t="s">
        <v>25</v>
      </c>
      <c r="E282" s="189" t="b">
        <v>0</v>
      </c>
      <c r="F282" s="189" t="s">
        <v>8</v>
      </c>
      <c r="G282" s="189" t="s">
        <v>10</v>
      </c>
      <c r="H282" s="46" t="str">
        <f>D282&amp;"|"&amp;E282&amp;"|"&amp;F282&amp;"|"&amp;G282</f>
        <v>General|FALSE|600to700|DrainedAr</v>
      </c>
      <c r="I282" s="132">
        <v>0.29523438269230684</v>
      </c>
      <c r="J282" s="50">
        <v>18.435086025803336</v>
      </c>
      <c r="K282" s="36" t="str">
        <f>D282&amp;"|"&amp;F282</f>
        <v>General|600to700</v>
      </c>
      <c r="L282" s="47"/>
      <c r="M282" s="132"/>
      <c r="N282" s="50"/>
      <c r="O282" s="37"/>
      <c r="P282" s="125"/>
    </row>
    <row r="283" spans="2:16">
      <c r="B283" s="135"/>
      <c r="C283" s="189" t="s">
        <v>241</v>
      </c>
      <c r="D283" s="189" t="s">
        <v>25</v>
      </c>
      <c r="E283" s="189" t="b">
        <v>1</v>
      </c>
      <c r="F283" s="189" t="s">
        <v>8</v>
      </c>
      <c r="G283" s="189" t="s">
        <v>10</v>
      </c>
      <c r="H283" s="46" t="str">
        <f>D283&amp;"|"&amp;E283&amp;"|"&amp;F283&amp;"|"&amp;G283</f>
        <v>General|TRUE|600to700|DrainedAr</v>
      </c>
      <c r="I283" s="132">
        <v>0.29523438269230684</v>
      </c>
      <c r="J283" s="50">
        <v>18.390801610361105</v>
      </c>
      <c r="K283" s="36" t="str">
        <f>D283&amp;"|"&amp;F283</f>
        <v>General|600to700</v>
      </c>
      <c r="L283" s="47"/>
      <c r="M283" s="132"/>
      <c r="N283" s="50"/>
      <c r="O283" s="37"/>
      <c r="P283" s="125"/>
    </row>
    <row r="284" spans="2:16">
      <c r="B284" s="135"/>
      <c r="C284" s="189" t="s">
        <v>241</v>
      </c>
      <c r="D284" s="189" t="s">
        <v>25</v>
      </c>
      <c r="E284" s="189" t="b">
        <v>0</v>
      </c>
      <c r="F284" s="189" t="s">
        <v>8</v>
      </c>
      <c r="G284" s="189" t="s">
        <v>11</v>
      </c>
      <c r="H284" s="46" t="str">
        <f>D284&amp;"|"&amp;E284&amp;"|"&amp;F284&amp;"|"&amp;G284</f>
        <v>General|FALSE|600to700|DrainedArGr</v>
      </c>
      <c r="I284" s="132">
        <v>0.50326363651031136</v>
      </c>
      <c r="J284" s="50">
        <v>19.16621415554544</v>
      </c>
      <c r="K284" s="36" t="str">
        <f>D284&amp;"|"&amp;F284</f>
        <v>General|600to700</v>
      </c>
      <c r="L284" s="47"/>
      <c r="M284" s="132"/>
      <c r="N284" s="50"/>
      <c r="O284" s="37"/>
      <c r="P284" s="125"/>
    </row>
    <row r="285" spans="2:16">
      <c r="B285" s="135"/>
      <c r="C285" s="189" t="s">
        <v>241</v>
      </c>
      <c r="D285" s="189" t="s">
        <v>25</v>
      </c>
      <c r="E285" s="189" t="b">
        <v>1</v>
      </c>
      <c r="F285" s="189" t="s">
        <v>8</v>
      </c>
      <c r="G285" s="189" t="s">
        <v>11</v>
      </c>
      <c r="H285" s="46" t="str">
        <f>D285&amp;"|"&amp;E285&amp;"|"&amp;F285&amp;"|"&amp;G285</f>
        <v>General|TRUE|600to700|DrainedArGr</v>
      </c>
      <c r="I285" s="132">
        <v>0.50326363651031136</v>
      </c>
      <c r="J285" s="50">
        <v>19.123574366234593</v>
      </c>
      <c r="K285" s="36" t="str">
        <f>D285&amp;"|"&amp;F285</f>
        <v>General|600to700</v>
      </c>
      <c r="L285" s="47"/>
      <c r="M285" s="132"/>
      <c r="N285" s="50"/>
      <c r="O285" s="37"/>
      <c r="P285" s="125"/>
    </row>
    <row r="286" spans="2:16">
      <c r="B286" s="135"/>
      <c r="C286" s="189" t="s">
        <v>241</v>
      </c>
      <c r="D286" s="189" t="s">
        <v>25</v>
      </c>
      <c r="E286" s="189" t="b">
        <v>0</v>
      </c>
      <c r="F286" s="189" t="s">
        <v>12</v>
      </c>
      <c r="G286" s="189" t="s">
        <v>9</v>
      </c>
      <c r="H286" s="46" t="str">
        <f>D286&amp;"|"&amp;E286&amp;"|"&amp;F286&amp;"|"&amp;G286</f>
        <v>General|FALSE|700to900|FreeDrain</v>
      </c>
      <c r="I286" s="132">
        <v>0.15221957880027007</v>
      </c>
      <c r="J286" s="50">
        <v>31.247808561461444</v>
      </c>
      <c r="K286" s="36" t="str">
        <f>D286&amp;"|"&amp;F286</f>
        <v>General|700to900</v>
      </c>
      <c r="L286" s="47"/>
      <c r="M286" s="132"/>
      <c r="N286" s="50"/>
      <c r="O286" s="37"/>
      <c r="P286" s="125"/>
    </row>
    <row r="287" spans="2:16">
      <c r="B287" s="135"/>
      <c r="C287" s="189" t="s">
        <v>241</v>
      </c>
      <c r="D287" s="189" t="s">
        <v>25</v>
      </c>
      <c r="E287" s="189" t="b">
        <v>1</v>
      </c>
      <c r="F287" s="189" t="s">
        <v>12</v>
      </c>
      <c r="G287" s="189" t="s">
        <v>9</v>
      </c>
      <c r="H287" s="46" t="str">
        <f>D287&amp;"|"&amp;E287&amp;"|"&amp;F287&amp;"|"&amp;G287</f>
        <v>General|TRUE|700to900|FreeDrain</v>
      </c>
      <c r="I287" s="132">
        <v>0.15221957880027007</v>
      </c>
      <c r="J287" s="50">
        <v>31.166812852979639</v>
      </c>
      <c r="K287" s="36" t="str">
        <f>D287&amp;"|"&amp;F287</f>
        <v>General|700to900</v>
      </c>
      <c r="L287" s="47"/>
      <c r="M287" s="132"/>
      <c r="N287" s="50"/>
      <c r="O287" s="37"/>
      <c r="P287" s="125"/>
    </row>
    <row r="288" spans="2:16">
      <c r="B288" s="135"/>
      <c r="C288" s="189" t="s">
        <v>241</v>
      </c>
      <c r="D288" s="189" t="s">
        <v>25</v>
      </c>
      <c r="E288" s="189" t="b">
        <v>0</v>
      </c>
      <c r="F288" s="189" t="s">
        <v>12</v>
      </c>
      <c r="G288" s="189" t="s">
        <v>10</v>
      </c>
      <c r="H288" s="46" t="str">
        <f>D288&amp;"|"&amp;E288&amp;"|"&amp;F288&amp;"|"&amp;G288</f>
        <v>General|FALSE|700to900|DrainedAr</v>
      </c>
      <c r="I288" s="132">
        <v>0.6166878401932645</v>
      </c>
      <c r="J288" s="50">
        <v>22.762196300974669</v>
      </c>
      <c r="K288" s="36" t="str">
        <f>D288&amp;"|"&amp;F288</f>
        <v>General|700to900</v>
      </c>
      <c r="L288" s="47"/>
      <c r="M288" s="132"/>
      <c r="N288" s="50"/>
      <c r="O288" s="37"/>
      <c r="P288" s="125"/>
    </row>
    <row r="289" spans="2:16">
      <c r="B289" s="135"/>
      <c r="C289" s="189" t="s">
        <v>241</v>
      </c>
      <c r="D289" s="189" t="s">
        <v>25</v>
      </c>
      <c r="E289" s="189" t="b">
        <v>1</v>
      </c>
      <c r="F289" s="189" t="s">
        <v>12</v>
      </c>
      <c r="G289" s="189" t="s">
        <v>10</v>
      </c>
      <c r="H289" s="46" t="str">
        <f>D289&amp;"|"&amp;E289&amp;"|"&amp;F289&amp;"|"&amp;G289</f>
        <v>General|TRUE|700to900|DrainedAr</v>
      </c>
      <c r="I289" s="132">
        <v>0.6166878401932645</v>
      </c>
      <c r="J289" s="50">
        <v>22.708755567832352</v>
      </c>
      <c r="K289" s="36" t="str">
        <f>D289&amp;"|"&amp;F289</f>
        <v>General|700to900</v>
      </c>
      <c r="L289" s="47"/>
      <c r="M289" s="132"/>
      <c r="N289" s="50"/>
      <c r="O289" s="37"/>
      <c r="P289" s="125"/>
    </row>
    <row r="290" spans="2:16">
      <c r="B290" s="135"/>
      <c r="C290" s="189" t="s">
        <v>241</v>
      </c>
      <c r="D290" s="189" t="s">
        <v>25</v>
      </c>
      <c r="E290" s="189" t="b">
        <v>0</v>
      </c>
      <c r="F290" s="189" t="s">
        <v>12</v>
      </c>
      <c r="G290" s="189" t="s">
        <v>11</v>
      </c>
      <c r="H290" s="46" t="str">
        <f>D290&amp;"|"&amp;E290&amp;"|"&amp;F290&amp;"|"&amp;G290</f>
        <v>General|FALSE|700to900|DrainedArGr</v>
      </c>
      <c r="I290" s="132">
        <v>0.86320127877579789</v>
      </c>
      <c r="J290" s="50">
        <v>20.525310181620274</v>
      </c>
      <c r="K290" s="36" t="str">
        <f>D290&amp;"|"&amp;F290</f>
        <v>General|700to900</v>
      </c>
      <c r="L290" s="47"/>
      <c r="M290" s="132"/>
      <c r="N290" s="50"/>
      <c r="O290" s="37"/>
      <c r="P290" s="125"/>
    </row>
    <row r="291" spans="2:16">
      <c r="B291" s="135"/>
      <c r="C291" s="189" t="s">
        <v>241</v>
      </c>
      <c r="D291" s="189" t="s">
        <v>25</v>
      </c>
      <c r="E291" s="189" t="b">
        <v>1</v>
      </c>
      <c r="F291" s="189" t="s">
        <v>12</v>
      </c>
      <c r="G291" s="189" t="s">
        <v>11</v>
      </c>
      <c r="H291" s="46" t="str">
        <f>D291&amp;"|"&amp;E291&amp;"|"&amp;F291&amp;"|"&amp;G291</f>
        <v>General|TRUE|700to900|DrainedArGr</v>
      </c>
      <c r="I291" s="132">
        <v>0.86320127877579789</v>
      </c>
      <c r="J291" s="50">
        <v>20.482537944095384</v>
      </c>
      <c r="K291" s="36" t="str">
        <f>D291&amp;"|"&amp;F291</f>
        <v>General|700to900</v>
      </c>
      <c r="L291" s="47"/>
      <c r="M291" s="132"/>
      <c r="N291" s="50"/>
      <c r="O291" s="37"/>
      <c r="P291" s="125"/>
    </row>
    <row r="292" spans="2:16">
      <c r="B292" s="135"/>
      <c r="C292" s="189" t="s">
        <v>241</v>
      </c>
      <c r="D292" s="189" t="s">
        <v>25</v>
      </c>
      <c r="E292" s="189" t="b">
        <v>1</v>
      </c>
      <c r="F292" s="189" t="s">
        <v>28</v>
      </c>
      <c r="G292" s="189" t="s">
        <v>9</v>
      </c>
      <c r="H292" s="46" t="str">
        <f>D292&amp;"|"&amp;E292&amp;"|"&amp;F292&amp;"|"&amp;G292</f>
        <v>General|TRUE|Over1500|FreeDrain</v>
      </c>
      <c r="I292" s="132">
        <v>0.76326653494025309</v>
      </c>
      <c r="J292" s="50">
        <v>34.334457956495406</v>
      </c>
      <c r="K292" s="36" t="str">
        <f>D292&amp;"|"&amp;F292</f>
        <v>General|Over1500</v>
      </c>
      <c r="L292" s="47"/>
      <c r="M292" s="132"/>
      <c r="N292" s="50"/>
      <c r="O292" s="37"/>
      <c r="P292" s="125"/>
    </row>
    <row r="293" spans="2:16">
      <c r="B293" s="135"/>
      <c r="C293" s="189" t="s">
        <v>241</v>
      </c>
      <c r="D293" s="189" t="s">
        <v>32</v>
      </c>
      <c r="E293" s="189" t="b">
        <v>0</v>
      </c>
      <c r="F293" s="189" t="s">
        <v>8</v>
      </c>
      <c r="G293" s="189" t="s">
        <v>9</v>
      </c>
      <c r="H293" s="46" t="str">
        <f>D293&amp;"|"&amp;E293&amp;"|"&amp;F293&amp;"|"&amp;G293</f>
        <v>Horticulture|FALSE|600to700|FreeDrain</v>
      </c>
      <c r="I293" s="132">
        <v>0.0532417888835533</v>
      </c>
      <c r="J293" s="50">
        <v>22.149428099980568</v>
      </c>
      <c r="K293" s="36" t="str">
        <f>D293&amp;"|"&amp;F293</f>
        <v>Horticulture|600to700</v>
      </c>
      <c r="L293" s="47"/>
      <c r="M293" s="132"/>
      <c r="N293" s="50"/>
      <c r="O293" s="37"/>
      <c r="P293" s="125"/>
    </row>
    <row r="294" spans="2:16">
      <c r="B294" s="135"/>
      <c r="C294" s="189" t="s">
        <v>241</v>
      </c>
      <c r="D294" s="189" t="s">
        <v>32</v>
      </c>
      <c r="E294" s="189" t="b">
        <v>1</v>
      </c>
      <c r="F294" s="189" t="s">
        <v>8</v>
      </c>
      <c r="G294" s="189" t="s">
        <v>9</v>
      </c>
      <c r="H294" s="46" t="str">
        <f>D294&amp;"|"&amp;E294&amp;"|"&amp;F294&amp;"|"&amp;G294</f>
        <v>Horticulture|TRUE|600to700|FreeDrain</v>
      </c>
      <c r="I294" s="132">
        <v>0.0532417888835533</v>
      </c>
      <c r="J294" s="50">
        <v>22.092641385302347</v>
      </c>
      <c r="K294" s="36" t="str">
        <f>D294&amp;"|"&amp;F294</f>
        <v>Horticulture|600to700</v>
      </c>
      <c r="L294" s="47"/>
      <c r="M294" s="132"/>
      <c r="N294" s="50"/>
      <c r="O294" s="37"/>
      <c r="P294" s="125"/>
    </row>
    <row r="295" spans="2:16">
      <c r="B295" s="135"/>
      <c r="C295" s="189" t="s">
        <v>241</v>
      </c>
      <c r="D295" s="189" t="s">
        <v>32</v>
      </c>
      <c r="E295" s="189" t="b">
        <v>0</v>
      </c>
      <c r="F295" s="189" t="s">
        <v>8</v>
      </c>
      <c r="G295" s="189" t="s">
        <v>10</v>
      </c>
      <c r="H295" s="46" t="str">
        <f>D295&amp;"|"&amp;E295&amp;"|"&amp;F295&amp;"|"&amp;G295</f>
        <v>Horticulture|FALSE|600to700|DrainedAr</v>
      </c>
      <c r="I295" s="132">
        <v>0.31442646171193694</v>
      </c>
      <c r="J295" s="50">
        <v>15.496879275783909</v>
      </c>
      <c r="K295" s="36" t="str">
        <f>D295&amp;"|"&amp;F295</f>
        <v>Horticulture|600to700</v>
      </c>
      <c r="L295" s="47"/>
      <c r="M295" s="132"/>
      <c r="N295" s="50"/>
      <c r="O295" s="37"/>
      <c r="P295" s="125"/>
    </row>
    <row r="296" spans="2:16">
      <c r="B296" s="135"/>
      <c r="C296" s="189" t="s">
        <v>241</v>
      </c>
      <c r="D296" s="189" t="s">
        <v>32</v>
      </c>
      <c r="E296" s="189" t="b">
        <v>1</v>
      </c>
      <c r="F296" s="189" t="s">
        <v>8</v>
      </c>
      <c r="G296" s="189" t="s">
        <v>10</v>
      </c>
      <c r="H296" s="46" t="str">
        <f>D296&amp;"|"&amp;E296&amp;"|"&amp;F296&amp;"|"&amp;G296</f>
        <v>Horticulture|TRUE|600to700|DrainedAr</v>
      </c>
      <c r="I296" s="132">
        <v>0.31442646171193694</v>
      </c>
      <c r="J296" s="50">
        <v>15.460360954110936</v>
      </c>
      <c r="K296" s="36" t="str">
        <f>D296&amp;"|"&amp;F296</f>
        <v>Horticulture|600to700</v>
      </c>
      <c r="L296" s="47"/>
      <c r="M296" s="132"/>
      <c r="N296" s="50"/>
      <c r="O296" s="37"/>
      <c r="P296" s="125"/>
    </row>
    <row r="297" spans="2:16">
      <c r="B297" s="135"/>
      <c r="C297" s="189" t="s">
        <v>241</v>
      </c>
      <c r="D297" s="189" t="s">
        <v>32</v>
      </c>
      <c r="E297" s="189" t="b">
        <v>0</v>
      </c>
      <c r="F297" s="189" t="s">
        <v>8</v>
      </c>
      <c r="G297" s="189" t="s">
        <v>11</v>
      </c>
      <c r="H297" s="46" t="str">
        <f>D297&amp;"|"&amp;E297&amp;"|"&amp;F297&amp;"|"&amp;G297</f>
        <v>Horticulture|FALSE|600to700|DrainedArGr</v>
      </c>
      <c r="I297" s="132">
        <v>0.5327461421969053</v>
      </c>
      <c r="J297" s="50">
        <v>16.001060036987361</v>
      </c>
      <c r="K297" s="36" t="str">
        <f>D297&amp;"|"&amp;F297</f>
        <v>Horticulture|600to700</v>
      </c>
      <c r="L297" s="47"/>
      <c r="M297" s="132"/>
      <c r="N297" s="50"/>
      <c r="O297" s="37"/>
      <c r="P297" s="125"/>
    </row>
    <row r="298" spans="2:16">
      <c r="B298" s="135"/>
      <c r="C298" s="189" t="s">
        <v>241</v>
      </c>
      <c r="D298" s="189" t="s">
        <v>32</v>
      </c>
      <c r="E298" s="189" t="b">
        <v>1</v>
      </c>
      <c r="F298" s="189" t="s">
        <v>8</v>
      </c>
      <c r="G298" s="189" t="s">
        <v>11</v>
      </c>
      <c r="H298" s="46" t="str">
        <f>D298&amp;"|"&amp;E298&amp;"|"&amp;F298&amp;"|"&amp;G298</f>
        <v>Horticulture|TRUE|600to700|DrainedArGr</v>
      </c>
      <c r="I298" s="132">
        <v>0.5327461421969053</v>
      </c>
      <c r="J298" s="50">
        <v>15.965927412857395</v>
      </c>
      <c r="K298" s="36" t="str">
        <f>D298&amp;"|"&amp;F298</f>
        <v>Horticulture|600to700</v>
      </c>
      <c r="L298" s="47"/>
      <c r="M298" s="132"/>
      <c r="N298" s="50"/>
      <c r="O298" s="37"/>
      <c r="P298" s="125"/>
    </row>
    <row r="299" spans="2:16">
      <c r="B299" s="135"/>
      <c r="C299" s="189" t="s">
        <v>241</v>
      </c>
      <c r="D299" s="189" t="s">
        <v>32</v>
      </c>
      <c r="E299" s="189" t="b">
        <v>1</v>
      </c>
      <c r="F299" s="189" t="s">
        <v>12</v>
      </c>
      <c r="G299" s="189" t="s">
        <v>9</v>
      </c>
      <c r="H299" s="46" t="str">
        <f>D299&amp;"|"&amp;E299&amp;"|"&amp;F299&amp;"|"&amp;G299</f>
        <v>Horticulture|TRUE|700to900|FreeDrain</v>
      </c>
      <c r="I299" s="132">
        <v>0.15485935515476945</v>
      </c>
      <c r="J299" s="50">
        <v>26.186212050207249</v>
      </c>
      <c r="K299" s="36" t="str">
        <f>D299&amp;"|"&amp;F299</f>
        <v>Horticulture|700to900</v>
      </c>
      <c r="L299" s="47"/>
      <c r="M299" s="132"/>
      <c r="N299" s="50"/>
      <c r="O299" s="37"/>
      <c r="P299" s="125"/>
    </row>
    <row r="300" spans="2:16">
      <c r="B300" s="135"/>
      <c r="C300" s="189" t="s">
        <v>241</v>
      </c>
      <c r="D300" s="189" t="s">
        <v>32</v>
      </c>
      <c r="E300" s="189" t="b">
        <v>0</v>
      </c>
      <c r="F300" s="189" t="s">
        <v>12</v>
      </c>
      <c r="G300" s="189" t="s">
        <v>10</v>
      </c>
      <c r="H300" s="46" t="str">
        <f>D300&amp;"|"&amp;E300&amp;"|"&amp;F300&amp;"|"&amp;G300</f>
        <v>Horticulture|FALSE|700to900|DrainedAr</v>
      </c>
      <c r="I300" s="132">
        <v>0.66020664387170536</v>
      </c>
      <c r="J300" s="50">
        <v>19.128196997090214</v>
      </c>
      <c r="K300" s="36" t="str">
        <f>D300&amp;"|"&amp;F300</f>
        <v>Horticulture|700to900</v>
      </c>
      <c r="L300" s="47"/>
      <c r="M300" s="132"/>
      <c r="N300" s="50"/>
      <c r="O300" s="37"/>
      <c r="P300" s="125"/>
    </row>
    <row r="301" spans="2:16">
      <c r="B301" s="135"/>
      <c r="C301" s="189" t="s">
        <v>241</v>
      </c>
      <c r="D301" s="189" t="s">
        <v>32</v>
      </c>
      <c r="E301" s="189" t="b">
        <v>1</v>
      </c>
      <c r="F301" s="189" t="s">
        <v>12</v>
      </c>
      <c r="G301" s="189" t="s">
        <v>10</v>
      </c>
      <c r="H301" s="46" t="str">
        <f>D301&amp;"|"&amp;E301&amp;"|"&amp;F301&amp;"|"&amp;G301</f>
        <v>Horticulture|TRUE|700to900|DrainedAr</v>
      </c>
      <c r="I301" s="132">
        <v>0.66020664387170536</v>
      </c>
      <c r="J301" s="50">
        <v>19.084069522600871</v>
      </c>
      <c r="K301" s="36" t="str">
        <f>D301&amp;"|"&amp;F301</f>
        <v>Horticulture|700to900</v>
      </c>
      <c r="L301" s="47"/>
      <c r="M301" s="132"/>
      <c r="N301" s="50"/>
      <c r="O301" s="37"/>
      <c r="P301" s="125"/>
    </row>
    <row r="302" spans="2:16">
      <c r="B302" s="135"/>
      <c r="C302" s="189" t="s">
        <v>241</v>
      </c>
      <c r="D302" s="189" t="s">
        <v>32</v>
      </c>
      <c r="E302" s="189" t="b">
        <v>0</v>
      </c>
      <c r="F302" s="189" t="s">
        <v>12</v>
      </c>
      <c r="G302" s="189" t="s">
        <v>11</v>
      </c>
      <c r="H302" s="46" t="str">
        <f>D302&amp;"|"&amp;E302&amp;"|"&amp;F302&amp;"|"&amp;G302</f>
        <v>Horticulture|FALSE|700to900|DrainedArGr</v>
      </c>
      <c r="I302" s="132">
        <v>0.91816711728596134</v>
      </c>
      <c r="J302" s="50">
        <v>17.151286138298776</v>
      </c>
      <c r="K302" s="36" t="str">
        <f>D302&amp;"|"&amp;F302</f>
        <v>Horticulture|700to900</v>
      </c>
      <c r="L302" s="47"/>
      <c r="M302" s="132"/>
      <c r="N302" s="50"/>
      <c r="O302" s="37"/>
      <c r="P302" s="125"/>
    </row>
    <row r="303" spans="2:16">
      <c r="B303" s="135"/>
      <c r="C303" s="189" t="s">
        <v>241</v>
      </c>
      <c r="D303" s="189" t="s">
        <v>32</v>
      </c>
      <c r="E303" s="189" t="b">
        <v>1</v>
      </c>
      <c r="F303" s="189" t="s">
        <v>12</v>
      </c>
      <c r="G303" s="189" t="s">
        <v>11</v>
      </c>
      <c r="H303" s="46" t="str">
        <f>D303&amp;"|"&amp;E303&amp;"|"&amp;F303&amp;"|"&amp;G303</f>
        <v>Horticulture|TRUE|700to900|DrainedArGr</v>
      </c>
      <c r="I303" s="132">
        <v>0.91816711728596134</v>
      </c>
      <c r="J303" s="50">
        <v>17.11599309824188</v>
      </c>
      <c r="K303" s="36" t="str">
        <f>D303&amp;"|"&amp;F303</f>
        <v>Horticulture|700to900</v>
      </c>
      <c r="L303" s="47"/>
      <c r="M303" s="132"/>
      <c r="N303" s="50"/>
      <c r="O303" s="37"/>
      <c r="P303" s="125"/>
    </row>
    <row r="304" spans="2:16">
      <c r="B304" s="135"/>
      <c r="C304" s="189" t="s">
        <v>241</v>
      </c>
      <c r="D304" s="189" t="s">
        <v>42</v>
      </c>
      <c r="E304" s="189" t="b">
        <v>0</v>
      </c>
      <c r="F304" s="189" t="s">
        <v>8</v>
      </c>
      <c r="G304" s="189" t="s">
        <v>9</v>
      </c>
      <c r="H304" s="46" t="str">
        <f>D304&amp;"|"&amp;E304&amp;"|"&amp;F304&amp;"|"&amp;G304</f>
        <v>Pig|FALSE|600to700|FreeDrain</v>
      </c>
      <c r="I304" s="132">
        <v>0.096969708499628951</v>
      </c>
      <c r="J304" s="50">
        <v>125.43903480511381</v>
      </c>
      <c r="K304" s="36" t="str">
        <f>D304&amp;"|"&amp;F304</f>
        <v>Pig|600to700</v>
      </c>
      <c r="L304" s="47"/>
      <c r="M304" s="132"/>
      <c r="N304" s="50"/>
      <c r="O304" s="37"/>
      <c r="P304" s="125"/>
    </row>
    <row r="305" spans="2:16">
      <c r="B305" s="135"/>
      <c r="C305" s="189" t="s">
        <v>241</v>
      </c>
      <c r="D305" s="189" t="s">
        <v>42</v>
      </c>
      <c r="E305" s="189" t="b">
        <v>1</v>
      </c>
      <c r="F305" s="189" t="s">
        <v>8</v>
      </c>
      <c r="G305" s="189" t="s">
        <v>9</v>
      </c>
      <c r="H305" s="46" t="str">
        <f>D305&amp;"|"&amp;E305&amp;"|"&amp;F305&amp;"|"&amp;G305</f>
        <v>Pig|TRUE|600to700|FreeDrain</v>
      </c>
      <c r="I305" s="132">
        <v>0.092413837110535371</v>
      </c>
      <c r="J305" s="50">
        <v>125.95713807539211</v>
      </c>
      <c r="K305" s="36" t="str">
        <f>D305&amp;"|"&amp;F305</f>
        <v>Pig|600to700</v>
      </c>
      <c r="L305" s="47"/>
      <c r="M305" s="132"/>
      <c r="N305" s="50"/>
      <c r="O305" s="37"/>
      <c r="P305" s="125"/>
    </row>
    <row r="306" spans="2:16">
      <c r="B306" s="135"/>
      <c r="C306" s="189" t="s">
        <v>241</v>
      </c>
      <c r="D306" s="189" t="s">
        <v>42</v>
      </c>
      <c r="E306" s="189" t="b">
        <v>0</v>
      </c>
      <c r="F306" s="189" t="s">
        <v>8</v>
      </c>
      <c r="G306" s="189" t="s">
        <v>10</v>
      </c>
      <c r="H306" s="46" t="str">
        <f>D306&amp;"|"&amp;E306&amp;"|"&amp;F306&amp;"|"&amp;G306</f>
        <v>Pig|FALSE|600to700|DrainedAr</v>
      </c>
      <c r="I306" s="132">
        <v>0.42428928122617654</v>
      </c>
      <c r="J306" s="50">
        <v>82.656763157871538</v>
      </c>
      <c r="K306" s="36" t="str">
        <f>D306&amp;"|"&amp;F306</f>
        <v>Pig|600to700</v>
      </c>
      <c r="L306" s="47"/>
      <c r="M306" s="132"/>
      <c r="N306" s="50"/>
      <c r="O306" s="37"/>
      <c r="P306" s="125"/>
    </row>
    <row r="307" spans="2:16">
      <c r="B307" s="135"/>
      <c r="C307" s="189" t="s">
        <v>241</v>
      </c>
      <c r="D307" s="189" t="s">
        <v>42</v>
      </c>
      <c r="E307" s="189" t="b">
        <v>1</v>
      </c>
      <c r="F307" s="189" t="s">
        <v>8</v>
      </c>
      <c r="G307" s="189" t="s">
        <v>10</v>
      </c>
      <c r="H307" s="46" t="str">
        <f>D307&amp;"|"&amp;E307&amp;"|"&amp;F307&amp;"|"&amp;G307</f>
        <v>Pig|TRUE|600to700|DrainedAr</v>
      </c>
      <c r="I307" s="132">
        <v>0.38431525653929649</v>
      </c>
      <c r="J307" s="50">
        <v>79.559096513400618</v>
      </c>
      <c r="K307" s="36" t="str">
        <f>D307&amp;"|"&amp;F307</f>
        <v>Pig|600to700</v>
      </c>
      <c r="L307" s="47"/>
      <c r="M307" s="132"/>
      <c r="N307" s="50"/>
      <c r="O307" s="37"/>
      <c r="P307" s="125"/>
    </row>
    <row r="308" spans="2:16">
      <c r="B308" s="135"/>
      <c r="C308" s="189" t="s">
        <v>241</v>
      </c>
      <c r="D308" s="189" t="s">
        <v>42</v>
      </c>
      <c r="E308" s="189" t="b">
        <v>0</v>
      </c>
      <c r="F308" s="189" t="s">
        <v>8</v>
      </c>
      <c r="G308" s="189" t="s">
        <v>11</v>
      </c>
      <c r="H308" s="46" t="str">
        <f>D308&amp;"|"&amp;E308&amp;"|"&amp;F308&amp;"|"&amp;G308</f>
        <v>Pig|FALSE|600to700|DrainedArGr</v>
      </c>
      <c r="I308" s="132">
        <v>0.67658223460240829</v>
      </c>
      <c r="J308" s="50">
        <v>79.379459018157746</v>
      </c>
      <c r="K308" s="36" t="str">
        <f>D308&amp;"|"&amp;F308</f>
        <v>Pig|600to700</v>
      </c>
      <c r="L308" s="47"/>
      <c r="M308" s="132"/>
      <c r="N308" s="50"/>
      <c r="O308" s="37"/>
      <c r="P308" s="125"/>
    </row>
    <row r="309" spans="2:16">
      <c r="B309" s="135"/>
      <c r="C309" s="189" t="s">
        <v>241</v>
      </c>
      <c r="D309" s="189" t="s">
        <v>42</v>
      </c>
      <c r="E309" s="189" t="b">
        <v>1</v>
      </c>
      <c r="F309" s="189" t="s">
        <v>8</v>
      </c>
      <c r="G309" s="189" t="s">
        <v>11</v>
      </c>
      <c r="H309" s="46" t="str">
        <f>D309&amp;"|"&amp;E309&amp;"|"&amp;F309&amp;"|"&amp;G309</f>
        <v>Pig|TRUE|600to700|DrainedArGr</v>
      </c>
      <c r="I309" s="132">
        <v>0.61844677640115064</v>
      </c>
      <c r="J309" s="50">
        <v>74.679582555530487</v>
      </c>
      <c r="K309" s="36" t="str">
        <f>D309&amp;"|"&amp;F309</f>
        <v>Pig|600to700</v>
      </c>
      <c r="L309" s="47"/>
      <c r="M309" s="132"/>
      <c r="N309" s="50"/>
      <c r="O309" s="37"/>
      <c r="P309" s="125"/>
    </row>
    <row r="310" spans="2:16">
      <c r="B310" s="135"/>
      <c r="C310" s="189" t="s">
        <v>241</v>
      </c>
      <c r="D310" s="189" t="s">
        <v>42</v>
      </c>
      <c r="E310" s="189" t="b">
        <v>1</v>
      </c>
      <c r="F310" s="189" t="s">
        <v>12</v>
      </c>
      <c r="G310" s="189" t="s">
        <v>9</v>
      </c>
      <c r="H310" s="46" t="str">
        <f>D310&amp;"|"&amp;E310&amp;"|"&amp;F310&amp;"|"&amp;G310</f>
        <v>Pig|TRUE|700to900|FreeDrain</v>
      </c>
      <c r="I310" s="132">
        <v>0.23061844066467541</v>
      </c>
      <c r="J310" s="50">
        <v>147.89606875570908</v>
      </c>
      <c r="K310" s="36" t="str">
        <f>D310&amp;"|"&amp;F310</f>
        <v>Pig|700to900</v>
      </c>
      <c r="L310" s="47"/>
      <c r="M310" s="132"/>
      <c r="N310" s="50"/>
      <c r="O310" s="37"/>
      <c r="P310" s="125"/>
    </row>
    <row r="311" spans="2:16">
      <c r="B311" s="135"/>
      <c r="C311" s="189" t="s">
        <v>241</v>
      </c>
      <c r="D311" s="189" t="s">
        <v>42</v>
      </c>
      <c r="E311" s="189" t="b">
        <v>0</v>
      </c>
      <c r="F311" s="189" t="s">
        <v>12</v>
      </c>
      <c r="G311" s="189" t="s">
        <v>10</v>
      </c>
      <c r="H311" s="46" t="str">
        <f>D311&amp;"|"&amp;E311&amp;"|"&amp;F311&amp;"|"&amp;G311</f>
        <v>Pig|FALSE|700to900|DrainedAr</v>
      </c>
      <c r="I311" s="132">
        <v>0.82205532078489252</v>
      </c>
      <c r="J311" s="50">
        <v>101.80215885805723</v>
      </c>
      <c r="K311" s="36" t="str">
        <f>D311&amp;"|"&amp;F311</f>
        <v>Pig|700to900</v>
      </c>
      <c r="L311" s="47"/>
      <c r="M311" s="132"/>
      <c r="N311" s="50"/>
      <c r="O311" s="37"/>
      <c r="P311" s="125"/>
    </row>
    <row r="312" spans="2:16">
      <c r="B312" s="135"/>
      <c r="C312" s="189" t="s">
        <v>241</v>
      </c>
      <c r="D312" s="189" t="s">
        <v>42</v>
      </c>
      <c r="E312" s="189" t="b">
        <v>1</v>
      </c>
      <c r="F312" s="189" t="s">
        <v>12</v>
      </c>
      <c r="G312" s="189" t="s">
        <v>10</v>
      </c>
      <c r="H312" s="46" t="str">
        <f>D312&amp;"|"&amp;E312&amp;"|"&amp;F312&amp;"|"&amp;G312</f>
        <v>Pig|TRUE|700to900|DrainedAr</v>
      </c>
      <c r="I312" s="132">
        <v>0.77423886513603679</v>
      </c>
      <c r="J312" s="50">
        <v>97.8098195658517</v>
      </c>
      <c r="K312" s="36" t="str">
        <f>D312&amp;"|"&amp;F312</f>
        <v>Pig|700to900</v>
      </c>
      <c r="L312" s="47"/>
      <c r="M312" s="132"/>
      <c r="N312" s="50"/>
      <c r="O312" s="37"/>
      <c r="P312" s="125"/>
    </row>
    <row r="313" spans="2:16">
      <c r="B313" s="135"/>
      <c r="C313" s="189" t="s">
        <v>241</v>
      </c>
      <c r="D313" s="189" t="s">
        <v>42</v>
      </c>
      <c r="E313" s="189" t="b">
        <v>0</v>
      </c>
      <c r="F313" s="189" t="s">
        <v>12</v>
      </c>
      <c r="G313" s="189" t="s">
        <v>11</v>
      </c>
      <c r="H313" s="46" t="str">
        <f>D313&amp;"|"&amp;E313&amp;"|"&amp;F313&amp;"|"&amp;G313</f>
        <v>Pig|FALSE|700to900|DrainedArGr</v>
      </c>
      <c r="I313" s="132">
        <v>1.1236056717730187</v>
      </c>
      <c r="J313" s="50">
        <v>86.473872679138182</v>
      </c>
      <c r="K313" s="36" t="str">
        <f>D313&amp;"|"&amp;F313</f>
        <v>Pig|700to900</v>
      </c>
      <c r="L313" s="47"/>
      <c r="M313" s="132"/>
      <c r="N313" s="50"/>
      <c r="O313" s="37"/>
      <c r="P313" s="125"/>
    </row>
    <row r="314" spans="2:16">
      <c r="B314" s="135"/>
      <c r="C314" s="189" t="s">
        <v>241</v>
      </c>
      <c r="D314" s="189" t="s">
        <v>42</v>
      </c>
      <c r="E314" s="189" t="b">
        <v>1</v>
      </c>
      <c r="F314" s="189" t="s">
        <v>12</v>
      </c>
      <c r="G314" s="189" t="s">
        <v>11</v>
      </c>
      <c r="H314" s="46" t="str">
        <f>D314&amp;"|"&amp;E314&amp;"|"&amp;F314&amp;"|"&amp;G314</f>
        <v>Pig|TRUE|700to900|DrainedArGr</v>
      </c>
      <c r="I314" s="132">
        <v>1.0556420537443791</v>
      </c>
      <c r="J314" s="50">
        <v>80.355890168406731</v>
      </c>
      <c r="K314" s="36" t="str">
        <f>D314&amp;"|"&amp;F314</f>
        <v>Pig|700to900</v>
      </c>
      <c r="L314" s="47"/>
      <c r="M314" s="132"/>
      <c r="N314" s="50"/>
      <c r="O314" s="37"/>
      <c r="P314" s="125"/>
    </row>
    <row r="315" spans="2:16">
      <c r="B315" s="135"/>
      <c r="C315" s="189" t="s">
        <v>241</v>
      </c>
      <c r="D315" s="189" t="s">
        <v>47</v>
      </c>
      <c r="E315" s="189" t="b">
        <v>0</v>
      </c>
      <c r="F315" s="189" t="s">
        <v>8</v>
      </c>
      <c r="G315" s="189" t="s">
        <v>9</v>
      </c>
      <c r="H315" s="46" t="str">
        <f>D315&amp;"|"&amp;E315&amp;"|"&amp;F315&amp;"|"&amp;G315</f>
        <v>Poultry|FALSE|600to700|FreeDrain</v>
      </c>
      <c r="I315" s="132">
        <v>0.17506950079083972</v>
      </c>
      <c r="J315" s="50">
        <v>243.02797893132748</v>
      </c>
      <c r="K315" s="36" t="str">
        <f>D315&amp;"|"&amp;F315</f>
        <v>Poultry|600to700</v>
      </c>
      <c r="L315" s="47"/>
      <c r="M315" s="132"/>
      <c r="N315" s="50"/>
      <c r="O315" s="37"/>
      <c r="P315" s="125"/>
    </row>
    <row r="316" spans="2:16">
      <c r="B316" s="135"/>
      <c r="C316" s="189" t="s">
        <v>241</v>
      </c>
      <c r="D316" s="189" t="s">
        <v>47</v>
      </c>
      <c r="E316" s="189" t="b">
        <v>1</v>
      </c>
      <c r="F316" s="189" t="s">
        <v>8</v>
      </c>
      <c r="G316" s="189" t="s">
        <v>9</v>
      </c>
      <c r="H316" s="46" t="str">
        <f>D316&amp;"|"&amp;E316&amp;"|"&amp;F316&amp;"|"&amp;G316</f>
        <v>Poultry|TRUE|600to700|FreeDrain</v>
      </c>
      <c r="I316" s="132">
        <v>0.16955585041499333</v>
      </c>
      <c r="J316" s="50">
        <v>244.3005797163319</v>
      </c>
      <c r="K316" s="36" t="str">
        <f>D316&amp;"|"&amp;F316</f>
        <v>Poultry|600to700</v>
      </c>
      <c r="L316" s="47"/>
      <c r="M316" s="132"/>
      <c r="N316" s="50"/>
      <c r="O316" s="37"/>
      <c r="P316" s="125"/>
    </row>
    <row r="317" spans="2:16">
      <c r="B317" s="135"/>
      <c r="C317" s="189" t="s">
        <v>241</v>
      </c>
      <c r="D317" s="189" t="s">
        <v>47</v>
      </c>
      <c r="E317" s="189" t="b">
        <v>0</v>
      </c>
      <c r="F317" s="189" t="s">
        <v>8</v>
      </c>
      <c r="G317" s="189" t="s">
        <v>10</v>
      </c>
      <c r="H317" s="46" t="str">
        <f>D317&amp;"|"&amp;E317&amp;"|"&amp;F317&amp;"|"&amp;G317</f>
        <v>Poultry|FALSE|600to700|DrainedAr</v>
      </c>
      <c r="I317" s="132">
        <v>0.43249963450016371</v>
      </c>
      <c r="J317" s="50">
        <v>157.4770943636982</v>
      </c>
      <c r="K317" s="36" t="str">
        <f>D317&amp;"|"&amp;F317</f>
        <v>Poultry|600to700</v>
      </c>
      <c r="L317" s="47"/>
      <c r="M317" s="132"/>
      <c r="N317" s="50"/>
      <c r="O317" s="37"/>
      <c r="P317" s="125"/>
    </row>
    <row r="318" spans="2:16">
      <c r="B318" s="135"/>
      <c r="C318" s="189" t="s">
        <v>241</v>
      </c>
      <c r="D318" s="189" t="s">
        <v>47</v>
      </c>
      <c r="E318" s="189" t="b">
        <v>1</v>
      </c>
      <c r="F318" s="189" t="s">
        <v>8</v>
      </c>
      <c r="G318" s="189" t="s">
        <v>10</v>
      </c>
      <c r="H318" s="46" t="str">
        <f>D318&amp;"|"&amp;E318&amp;"|"&amp;F318&amp;"|"&amp;G318</f>
        <v>Poultry|TRUE|600to700|DrainedAr</v>
      </c>
      <c r="I318" s="132">
        <v>0.4008357066957457</v>
      </c>
      <c r="J318" s="50">
        <v>151.25633036931544</v>
      </c>
      <c r="K318" s="36" t="str">
        <f>D318&amp;"|"&amp;F318</f>
        <v>Poultry|600to700</v>
      </c>
      <c r="L318" s="47"/>
      <c r="M318" s="132"/>
      <c r="N318" s="50"/>
      <c r="O318" s="37"/>
      <c r="P318" s="125"/>
    </row>
    <row r="319" spans="2:16">
      <c r="B319" s="135"/>
      <c r="C319" s="189" t="s">
        <v>241</v>
      </c>
      <c r="D319" s="189" t="s">
        <v>47</v>
      </c>
      <c r="E319" s="189" t="b">
        <v>0</v>
      </c>
      <c r="F319" s="189" t="s">
        <v>8</v>
      </c>
      <c r="G319" s="189" t="s">
        <v>11</v>
      </c>
      <c r="H319" s="46" t="str">
        <f>D319&amp;"|"&amp;E319&amp;"|"&amp;F319&amp;"|"&amp;G319</f>
        <v>Poultry|FALSE|600to700|DrainedArGr</v>
      </c>
      <c r="I319" s="132">
        <v>0.75101354602321391</v>
      </c>
      <c r="J319" s="50">
        <v>147.40974901526289</v>
      </c>
      <c r="K319" s="36" t="str">
        <f>D319&amp;"|"&amp;F319</f>
        <v>Poultry|600to700</v>
      </c>
      <c r="L319" s="47"/>
      <c r="M319" s="132"/>
      <c r="N319" s="50"/>
      <c r="O319" s="37"/>
      <c r="P319" s="125"/>
    </row>
    <row r="320" spans="2:16">
      <c r="B320" s="135"/>
      <c r="C320" s="189" t="s">
        <v>241</v>
      </c>
      <c r="D320" s="189" t="s">
        <v>47</v>
      </c>
      <c r="E320" s="189" t="b">
        <v>1</v>
      </c>
      <c r="F320" s="189" t="s">
        <v>8</v>
      </c>
      <c r="G320" s="189" t="s">
        <v>11</v>
      </c>
      <c r="H320" s="46" t="str">
        <f>D320&amp;"|"&amp;E320&amp;"|"&amp;F320&amp;"|"&amp;G320</f>
        <v>Poultry|TRUE|600to700|DrainedArGr</v>
      </c>
      <c r="I320" s="132">
        <v>0.70757099267580759</v>
      </c>
      <c r="J320" s="50">
        <v>138.11303624046081</v>
      </c>
      <c r="K320" s="36" t="str">
        <f>D320&amp;"|"&amp;F320</f>
        <v>Poultry|600to700</v>
      </c>
      <c r="L320" s="47"/>
      <c r="M320" s="132"/>
      <c r="N320" s="50"/>
      <c r="O320" s="37"/>
      <c r="P320" s="125"/>
    </row>
    <row r="321" spans="2:16">
      <c r="B321" s="135"/>
      <c r="C321" s="189" t="s">
        <v>241</v>
      </c>
      <c r="D321" s="189" t="s">
        <v>47</v>
      </c>
      <c r="E321" s="189" t="b">
        <v>1</v>
      </c>
      <c r="F321" s="189" t="s">
        <v>12</v>
      </c>
      <c r="G321" s="189" t="s">
        <v>9</v>
      </c>
      <c r="H321" s="46" t="str">
        <f>D321&amp;"|"&amp;E321&amp;"|"&amp;F321&amp;"|"&amp;G321</f>
        <v>Poultry|TRUE|700to900|FreeDrain</v>
      </c>
      <c r="I321" s="132">
        <v>0.3652024993944144</v>
      </c>
      <c r="J321" s="50">
        <v>287.23049226905482</v>
      </c>
      <c r="K321" s="36" t="str">
        <f>D321&amp;"|"&amp;F321</f>
        <v>Poultry|700to900</v>
      </c>
      <c r="L321" s="47"/>
      <c r="M321" s="132"/>
      <c r="N321" s="50"/>
      <c r="O321" s="37"/>
      <c r="P321" s="125"/>
    </row>
    <row r="322" spans="2:16">
      <c r="B322" s="135"/>
      <c r="C322" s="189" t="s">
        <v>241</v>
      </c>
      <c r="D322" s="189" t="s">
        <v>47</v>
      </c>
      <c r="E322" s="189" t="b">
        <v>0</v>
      </c>
      <c r="F322" s="189" t="s">
        <v>12</v>
      </c>
      <c r="G322" s="189" t="s">
        <v>10</v>
      </c>
      <c r="H322" s="46" t="str">
        <f>D322&amp;"|"&amp;E322&amp;"|"&amp;F322&amp;"|"&amp;G322</f>
        <v>Poultry|FALSE|700to900|DrainedAr</v>
      </c>
      <c r="I322" s="132">
        <v>0.84654672919283169</v>
      </c>
      <c r="J322" s="50">
        <v>195.02956128141156</v>
      </c>
      <c r="K322" s="36" t="str">
        <f>D322&amp;"|"&amp;F322</f>
        <v>Poultry|700to900</v>
      </c>
      <c r="L322" s="47"/>
      <c r="M322" s="132"/>
      <c r="N322" s="50"/>
      <c r="O322" s="37"/>
      <c r="P322" s="125"/>
    </row>
    <row r="323" spans="2:16">
      <c r="B323" s="135"/>
      <c r="C323" s="189" t="s">
        <v>241</v>
      </c>
      <c r="D323" s="189" t="s">
        <v>47</v>
      </c>
      <c r="E323" s="189" t="b">
        <v>1</v>
      </c>
      <c r="F323" s="189" t="s">
        <v>12</v>
      </c>
      <c r="G323" s="189" t="s">
        <v>10</v>
      </c>
      <c r="H323" s="46" t="str">
        <f>D323&amp;"|"&amp;E323&amp;"|"&amp;F323&amp;"|"&amp;G323</f>
        <v>Poultry|TRUE|700to900|DrainedAr</v>
      </c>
      <c r="I323" s="132">
        <v>0.80033229835342556</v>
      </c>
      <c r="J323" s="50">
        <v>187.03490469131836</v>
      </c>
      <c r="K323" s="36" t="str">
        <f>D323&amp;"|"&amp;F323</f>
        <v>Poultry|700to900</v>
      </c>
      <c r="L323" s="47"/>
      <c r="M323" s="132"/>
      <c r="N323" s="50"/>
      <c r="O323" s="37"/>
      <c r="P323" s="125"/>
    </row>
    <row r="324" spans="2:16">
      <c r="B324" s="135"/>
      <c r="C324" s="189" t="s">
        <v>241</v>
      </c>
      <c r="D324" s="189" t="s">
        <v>47</v>
      </c>
      <c r="E324" s="189" t="b">
        <v>0</v>
      </c>
      <c r="F324" s="189" t="s">
        <v>12</v>
      </c>
      <c r="G324" s="189" t="s">
        <v>11</v>
      </c>
      <c r="H324" s="46" t="str">
        <f>D324&amp;"|"&amp;E324&amp;"|"&amp;F324&amp;"|"&amp;G324</f>
        <v>Poultry|FALSE|700to900|DrainedArGr</v>
      </c>
      <c r="I324" s="132">
        <v>1.2585719752733295</v>
      </c>
      <c r="J324" s="50">
        <v>160.53763032540837</v>
      </c>
      <c r="K324" s="36" t="str">
        <f>D324&amp;"|"&amp;F324</f>
        <v>Poultry|700to900</v>
      </c>
      <c r="L324" s="47"/>
      <c r="M324" s="132"/>
      <c r="N324" s="50"/>
      <c r="O324" s="37"/>
      <c r="P324" s="125"/>
    </row>
    <row r="325" spans="2:16">
      <c r="B325" s="135"/>
      <c r="C325" s="189" t="s">
        <v>241</v>
      </c>
      <c r="D325" s="189" t="s">
        <v>47</v>
      </c>
      <c r="E325" s="189" t="b">
        <v>1</v>
      </c>
      <c r="F325" s="189" t="s">
        <v>12</v>
      </c>
      <c r="G325" s="189" t="s">
        <v>11</v>
      </c>
      <c r="H325" s="46" t="str">
        <f>D325&amp;"|"&amp;E325&amp;"|"&amp;F325&amp;"|"&amp;G325</f>
        <v>Poultry|TRUE|700to900|DrainedArGr</v>
      </c>
      <c r="I325" s="132">
        <v>1.1957716881029843</v>
      </c>
      <c r="J325" s="50">
        <v>148.52662184728396</v>
      </c>
      <c r="K325" s="36" t="str">
        <f>D325&amp;"|"&amp;F325</f>
        <v>Poultry|700to900</v>
      </c>
      <c r="L325" s="47"/>
      <c r="M325" s="132"/>
      <c r="N325" s="50"/>
      <c r="O325" s="37"/>
      <c r="P325" s="125"/>
    </row>
    <row r="326" spans="2:16">
      <c r="B326" s="135"/>
      <c r="C326" s="189" t="s">
        <v>241</v>
      </c>
      <c r="D326" s="189" t="s">
        <v>55</v>
      </c>
      <c r="E326" s="189" t="b">
        <v>1</v>
      </c>
      <c r="F326" s="189" t="s">
        <v>8</v>
      </c>
      <c r="G326" s="189" t="s">
        <v>9</v>
      </c>
      <c r="H326" s="46" t="str">
        <f>D326&amp;"|"&amp;E326&amp;"|"&amp;F326&amp;"|"&amp;G326</f>
        <v>Dairy|TRUE|600to700|FreeDrain</v>
      </c>
      <c r="I326" s="132">
        <v>0.13977191349042906</v>
      </c>
      <c r="J326" s="50">
        <v>35.87048767975147</v>
      </c>
      <c r="K326" s="36" t="str">
        <f>D326&amp;"|"&amp;F326</f>
        <v>Dairy|600to700</v>
      </c>
      <c r="L326" s="47"/>
      <c r="M326" s="132"/>
      <c r="N326" s="50"/>
      <c r="O326" s="37"/>
      <c r="P326" s="125"/>
    </row>
    <row r="327" spans="2:16">
      <c r="B327" s="135"/>
      <c r="C327" s="189" t="s">
        <v>241</v>
      </c>
      <c r="D327" s="189" t="s">
        <v>55</v>
      </c>
      <c r="E327" s="189" t="b">
        <v>0</v>
      </c>
      <c r="F327" s="189" t="s">
        <v>8</v>
      </c>
      <c r="G327" s="189" t="s">
        <v>10</v>
      </c>
      <c r="H327" s="46" t="str">
        <f>D327&amp;"|"&amp;E327&amp;"|"&amp;F327&amp;"|"&amp;G327</f>
        <v>Dairy|FALSE|600to700|DrainedAr</v>
      </c>
      <c r="I327" s="132">
        <v>0.28342886312456061</v>
      </c>
      <c r="J327" s="50">
        <v>24.349378790611546</v>
      </c>
      <c r="K327" s="36" t="str">
        <f>D327&amp;"|"&amp;F327</f>
        <v>Dairy|600to700</v>
      </c>
      <c r="L327" s="47"/>
      <c r="M327" s="132"/>
      <c r="N327" s="50"/>
      <c r="O327" s="37"/>
      <c r="P327" s="125"/>
    </row>
    <row r="328" spans="2:16">
      <c r="B328" s="135"/>
      <c r="C328" s="189" t="s">
        <v>241</v>
      </c>
      <c r="D328" s="189" t="s">
        <v>55</v>
      </c>
      <c r="E328" s="189" t="b">
        <v>1</v>
      </c>
      <c r="F328" s="189" t="s">
        <v>8</v>
      </c>
      <c r="G328" s="189" t="s">
        <v>10</v>
      </c>
      <c r="H328" s="46" t="str">
        <f>D328&amp;"|"&amp;E328&amp;"|"&amp;F328&amp;"|"&amp;G328</f>
        <v>Dairy|TRUE|600to700|DrainedAr</v>
      </c>
      <c r="I328" s="132">
        <v>0.28052427408798419</v>
      </c>
      <c r="J328" s="50">
        <v>24.091171078133755</v>
      </c>
      <c r="K328" s="36" t="str">
        <f>D328&amp;"|"&amp;F328</f>
        <v>Dairy|600to700</v>
      </c>
      <c r="L328" s="47"/>
      <c r="M328" s="132"/>
      <c r="N328" s="50"/>
      <c r="O328" s="37"/>
      <c r="P328" s="125"/>
    </row>
    <row r="329" spans="2:16">
      <c r="B329" s="135"/>
      <c r="C329" s="189" t="s">
        <v>241</v>
      </c>
      <c r="D329" s="189" t="s">
        <v>55</v>
      </c>
      <c r="E329" s="189" t="b">
        <v>0</v>
      </c>
      <c r="F329" s="189" t="s">
        <v>8</v>
      </c>
      <c r="G329" s="189" t="s">
        <v>11</v>
      </c>
      <c r="H329" s="46" t="str">
        <f>D329&amp;"|"&amp;E329&amp;"|"&amp;F329&amp;"|"&amp;G329</f>
        <v>Dairy|FALSE|600to700|DrainedArGr</v>
      </c>
      <c r="I329" s="132">
        <v>0.90472066591877964</v>
      </c>
      <c r="J329" s="50">
        <v>19.431341706673422</v>
      </c>
      <c r="K329" s="36" t="str">
        <f>D329&amp;"|"&amp;F329</f>
        <v>Dairy|600to700</v>
      </c>
      <c r="L329" s="47"/>
      <c r="M329" s="132"/>
      <c r="N329" s="50"/>
      <c r="O329" s="37"/>
      <c r="P329" s="125"/>
    </row>
    <row r="330" spans="2:16">
      <c r="B330" s="135"/>
      <c r="C330" s="189" t="s">
        <v>241</v>
      </c>
      <c r="D330" s="189" t="s">
        <v>55</v>
      </c>
      <c r="E330" s="189" t="b">
        <v>1</v>
      </c>
      <c r="F330" s="189" t="s">
        <v>8</v>
      </c>
      <c r="G330" s="189" t="s">
        <v>11</v>
      </c>
      <c r="H330" s="46" t="str">
        <f>D330&amp;"|"&amp;E330&amp;"|"&amp;F330&amp;"|"&amp;G330</f>
        <v>Dairy|TRUE|600to700|DrainedArGr</v>
      </c>
      <c r="I330" s="132">
        <v>0.87745708676335987</v>
      </c>
      <c r="J330" s="50">
        <v>19.062506533369426</v>
      </c>
      <c r="K330" s="36" t="str">
        <f>D330&amp;"|"&amp;F330</f>
        <v>Dairy|600to700</v>
      </c>
      <c r="L330" s="47"/>
      <c r="M330" s="132"/>
      <c r="N330" s="50"/>
      <c r="O330" s="37"/>
      <c r="P330" s="125"/>
    </row>
    <row r="331" spans="2:16">
      <c r="B331" s="135"/>
      <c r="C331" s="189" t="s">
        <v>241</v>
      </c>
      <c r="D331" s="189" t="s">
        <v>55</v>
      </c>
      <c r="E331" s="189" t="b">
        <v>1</v>
      </c>
      <c r="F331" s="189" t="s">
        <v>12</v>
      </c>
      <c r="G331" s="189" t="s">
        <v>11</v>
      </c>
      <c r="H331" s="46" t="str">
        <f>D331&amp;"|"&amp;E331&amp;"|"&amp;F331&amp;"|"&amp;G331</f>
        <v>Dairy|TRUE|700to900|DrainedArGr</v>
      </c>
      <c r="I331" s="132">
        <v>1.3119508440549619</v>
      </c>
      <c r="J331" s="50">
        <v>22.543863316036074</v>
      </c>
      <c r="K331" s="36" t="str">
        <f>D331&amp;"|"&amp;F331</f>
        <v>Dairy|700to900</v>
      </c>
      <c r="L331" s="47"/>
      <c r="M331" s="132"/>
      <c r="N331" s="50"/>
      <c r="O331" s="37"/>
      <c r="P331" s="125"/>
    </row>
    <row r="332" spans="2:16">
      <c r="B332" s="135"/>
      <c r="C332" s="189" t="s">
        <v>241</v>
      </c>
      <c r="D332" s="189" t="s">
        <v>58</v>
      </c>
      <c r="E332" s="189" t="b">
        <v>0</v>
      </c>
      <c r="F332" s="189" t="s">
        <v>8</v>
      </c>
      <c r="G332" s="189" t="s">
        <v>9</v>
      </c>
      <c r="H332" s="46" t="str">
        <f>D332&amp;"|"&amp;E332&amp;"|"&amp;F332&amp;"|"&amp;G332</f>
        <v>Lowland|FALSE|600to700|FreeDrain</v>
      </c>
      <c r="I332" s="132">
        <v>0.093136332121087309</v>
      </c>
      <c r="J332" s="50">
        <v>16.419057589967426</v>
      </c>
      <c r="K332" s="36" t="str">
        <f>D332&amp;"|"&amp;F332</f>
        <v>Lowland|600to700</v>
      </c>
      <c r="L332" s="47"/>
      <c r="M332" s="132"/>
      <c r="N332" s="50"/>
      <c r="O332" s="37"/>
      <c r="P332" s="125"/>
    </row>
    <row r="333" spans="2:16">
      <c r="B333" s="135"/>
      <c r="C333" s="189" t="s">
        <v>241</v>
      </c>
      <c r="D333" s="189" t="s">
        <v>58</v>
      </c>
      <c r="E333" s="189" t="b">
        <v>1</v>
      </c>
      <c r="F333" s="189" t="s">
        <v>8</v>
      </c>
      <c r="G333" s="189" t="s">
        <v>9</v>
      </c>
      <c r="H333" s="46" t="str">
        <f>D333&amp;"|"&amp;E333&amp;"|"&amp;F333&amp;"|"&amp;G333</f>
        <v>Lowland|TRUE|600to700|FreeDrain</v>
      </c>
      <c r="I333" s="132">
        <v>0.093136099290159508</v>
      </c>
      <c r="J333" s="50">
        <v>16.2965763589771</v>
      </c>
      <c r="K333" s="36" t="str">
        <f>D333&amp;"|"&amp;F333</f>
        <v>Lowland|600to700</v>
      </c>
      <c r="L333" s="47"/>
      <c r="M333" s="132"/>
      <c r="N333" s="50"/>
      <c r="O333" s="37"/>
      <c r="P333" s="125"/>
    </row>
    <row r="334" spans="2:16">
      <c r="B334" s="135"/>
      <c r="C334" s="189" t="s">
        <v>241</v>
      </c>
      <c r="D334" s="189" t="s">
        <v>58</v>
      </c>
      <c r="E334" s="189" t="b">
        <v>0</v>
      </c>
      <c r="F334" s="189" t="s">
        <v>8</v>
      </c>
      <c r="G334" s="189" t="s">
        <v>10</v>
      </c>
      <c r="H334" s="46" t="str">
        <f>D334&amp;"|"&amp;E334&amp;"|"&amp;F334&amp;"|"&amp;G334</f>
        <v>Lowland|FALSE|600to700|DrainedAr</v>
      </c>
      <c r="I334" s="132">
        <v>0.14543293135750152</v>
      </c>
      <c r="J334" s="50">
        <v>11.199956953286136</v>
      </c>
      <c r="K334" s="36" t="str">
        <f>D334&amp;"|"&amp;F334</f>
        <v>Lowland|600to700</v>
      </c>
      <c r="L334" s="47"/>
      <c r="M334" s="132"/>
      <c r="N334" s="50"/>
      <c r="O334" s="37"/>
      <c r="P334" s="125"/>
    </row>
    <row r="335" spans="2:16">
      <c r="B335" s="135"/>
      <c r="C335" s="189" t="s">
        <v>241</v>
      </c>
      <c r="D335" s="189" t="s">
        <v>58</v>
      </c>
      <c r="E335" s="189" t="b">
        <v>1</v>
      </c>
      <c r="F335" s="189" t="s">
        <v>8</v>
      </c>
      <c r="G335" s="189" t="s">
        <v>10</v>
      </c>
      <c r="H335" s="46" t="str">
        <f>D335&amp;"|"&amp;E335&amp;"|"&amp;F335&amp;"|"&amp;G335</f>
        <v>Lowland|TRUE|600to700|DrainedAr</v>
      </c>
      <c r="I335" s="132">
        <v>0.14543258019635891</v>
      </c>
      <c r="J335" s="50">
        <v>11.120800080541583</v>
      </c>
      <c r="K335" s="36" t="str">
        <f>D335&amp;"|"&amp;F335</f>
        <v>Lowland|600to700</v>
      </c>
      <c r="L335" s="47"/>
      <c r="M335" s="132"/>
      <c r="N335" s="50"/>
      <c r="O335" s="37"/>
      <c r="P335" s="125"/>
    </row>
    <row r="336" spans="2:16">
      <c r="B336" s="135"/>
      <c r="C336" s="189" t="s">
        <v>241</v>
      </c>
      <c r="D336" s="189" t="s">
        <v>58</v>
      </c>
      <c r="E336" s="189" t="b">
        <v>0</v>
      </c>
      <c r="F336" s="189" t="s">
        <v>8</v>
      </c>
      <c r="G336" s="189" t="s">
        <v>11</v>
      </c>
      <c r="H336" s="46" t="str">
        <f>D336&amp;"|"&amp;E336&amp;"|"&amp;F336&amp;"|"&amp;G336</f>
        <v>Lowland|FALSE|600to700|DrainedArGr</v>
      </c>
      <c r="I336" s="132">
        <v>0.50169301677469647</v>
      </c>
      <c r="J336" s="50">
        <v>9.67631179300863</v>
      </c>
      <c r="K336" s="36" t="str">
        <f>D336&amp;"|"&amp;F336</f>
        <v>Lowland|600to700</v>
      </c>
      <c r="L336" s="47"/>
      <c r="M336" s="132"/>
      <c r="N336" s="50"/>
      <c r="O336" s="37"/>
      <c r="P336" s="125"/>
    </row>
    <row r="337" spans="2:16">
      <c r="B337" s="135"/>
      <c r="C337" s="189" t="s">
        <v>241</v>
      </c>
      <c r="D337" s="189" t="s">
        <v>58</v>
      </c>
      <c r="E337" s="189" t="b">
        <v>1</v>
      </c>
      <c r="F337" s="189" t="s">
        <v>8</v>
      </c>
      <c r="G337" s="189" t="s">
        <v>11</v>
      </c>
      <c r="H337" s="46" t="str">
        <f>D337&amp;"|"&amp;E337&amp;"|"&amp;F337&amp;"|"&amp;G337</f>
        <v>Lowland|TRUE|600to700|DrainedArGr</v>
      </c>
      <c r="I337" s="132">
        <v>0.50166014091620637</v>
      </c>
      <c r="J337" s="50">
        <v>9.6487446959599641</v>
      </c>
      <c r="K337" s="36" t="str">
        <f>D337&amp;"|"&amp;F337</f>
        <v>Lowland|600to700</v>
      </c>
      <c r="L337" s="47"/>
      <c r="M337" s="132"/>
      <c r="N337" s="50"/>
      <c r="O337" s="37"/>
      <c r="P337" s="125"/>
    </row>
    <row r="338" spans="2:16">
      <c r="B338" s="135"/>
      <c r="C338" s="189" t="s">
        <v>241</v>
      </c>
      <c r="D338" s="189" t="s">
        <v>58</v>
      </c>
      <c r="E338" s="189" t="b">
        <v>1</v>
      </c>
      <c r="F338" s="189" t="s">
        <v>12</v>
      </c>
      <c r="G338" s="189" t="s">
        <v>9</v>
      </c>
      <c r="H338" s="46" t="str">
        <f>D338&amp;"|"&amp;E338&amp;"|"&amp;F338&amp;"|"&amp;G338</f>
        <v>Lowland|TRUE|700to900|FreeDrain</v>
      </c>
      <c r="I338" s="132">
        <v>0.156273120535776</v>
      </c>
      <c r="J338" s="50">
        <v>22.387648706618574</v>
      </c>
      <c r="K338" s="36" t="str">
        <f>D338&amp;"|"&amp;F338</f>
        <v>Lowland|700to900</v>
      </c>
      <c r="L338" s="47"/>
      <c r="M338" s="132"/>
      <c r="N338" s="50"/>
      <c r="O338" s="37"/>
      <c r="P338" s="125"/>
    </row>
    <row r="339" spans="2:16">
      <c r="B339" s="135"/>
      <c r="C339" s="189" t="s">
        <v>241</v>
      </c>
      <c r="D339" s="189" t="s">
        <v>58</v>
      </c>
      <c r="E339" s="189" t="b">
        <v>0</v>
      </c>
      <c r="F339" s="189" t="s">
        <v>12</v>
      </c>
      <c r="G339" s="189" t="s">
        <v>10</v>
      </c>
      <c r="H339" s="46" t="str">
        <f>D339&amp;"|"&amp;E339&amp;"|"&amp;F339&amp;"|"&amp;G339</f>
        <v>Lowland|FALSE|700to900|DrainedAr</v>
      </c>
      <c r="I339" s="132">
        <v>0.25403586624276359</v>
      </c>
      <c r="J339" s="50">
        <v>17.588609972551009</v>
      </c>
      <c r="K339" s="36" t="str">
        <f>D339&amp;"|"&amp;F339</f>
        <v>Lowland|700to900</v>
      </c>
      <c r="L339" s="47"/>
      <c r="M339" s="132"/>
      <c r="N339" s="50"/>
      <c r="O339" s="37"/>
      <c r="P339" s="125"/>
    </row>
    <row r="340" spans="2:16">
      <c r="B340" s="135"/>
      <c r="C340" s="189" t="s">
        <v>241</v>
      </c>
      <c r="D340" s="189" t="s">
        <v>58</v>
      </c>
      <c r="E340" s="189" t="b">
        <v>1</v>
      </c>
      <c r="F340" s="189" t="s">
        <v>12</v>
      </c>
      <c r="G340" s="189" t="s">
        <v>10</v>
      </c>
      <c r="H340" s="46" t="str">
        <f>D340&amp;"|"&amp;E340&amp;"|"&amp;F340&amp;"|"&amp;G340</f>
        <v>Lowland|TRUE|700to900|DrainedAr</v>
      </c>
      <c r="I340" s="132">
        <v>0.25403540629807997</v>
      </c>
      <c r="J340" s="50">
        <v>17.464634476426369</v>
      </c>
      <c r="K340" s="36" t="str">
        <f>D340&amp;"|"&amp;F340</f>
        <v>Lowland|700to900</v>
      </c>
      <c r="L340" s="47"/>
      <c r="M340" s="132"/>
      <c r="N340" s="50"/>
      <c r="O340" s="37"/>
      <c r="P340" s="125"/>
    </row>
    <row r="341" spans="2:16">
      <c r="B341" s="135"/>
      <c r="C341" s="189" t="s">
        <v>241</v>
      </c>
      <c r="D341" s="189" t="s">
        <v>58</v>
      </c>
      <c r="E341" s="189" t="b">
        <v>0</v>
      </c>
      <c r="F341" s="189" t="s">
        <v>12</v>
      </c>
      <c r="G341" s="189" t="s">
        <v>11</v>
      </c>
      <c r="H341" s="46" t="str">
        <f>D341&amp;"|"&amp;E341&amp;"|"&amp;F341&amp;"|"&amp;G341</f>
        <v>Lowland|FALSE|700to900|DrainedArGr</v>
      </c>
      <c r="I341" s="132">
        <v>0.78475307568797692</v>
      </c>
      <c r="J341" s="50">
        <v>11.759942520238921</v>
      </c>
      <c r="K341" s="36" t="str">
        <f>D341&amp;"|"&amp;F341</f>
        <v>Lowland|700to900</v>
      </c>
      <c r="L341" s="47"/>
      <c r="M341" s="132"/>
      <c r="N341" s="50"/>
      <c r="O341" s="37"/>
      <c r="P341" s="125"/>
    </row>
    <row r="342" spans="2:16">
      <c r="B342" s="135"/>
      <c r="C342" s="189" t="s">
        <v>241</v>
      </c>
      <c r="D342" s="189" t="s">
        <v>58</v>
      </c>
      <c r="E342" s="189" t="b">
        <v>1</v>
      </c>
      <c r="F342" s="189" t="s">
        <v>12</v>
      </c>
      <c r="G342" s="189" t="s">
        <v>11</v>
      </c>
      <c r="H342" s="46" t="str">
        <f>D342&amp;"|"&amp;E342&amp;"|"&amp;F342&amp;"|"&amp;G342</f>
        <v>Lowland|TRUE|700to900|DrainedArGr</v>
      </c>
      <c r="I342" s="132">
        <v>0.78471327234874022</v>
      </c>
      <c r="J342" s="50">
        <v>11.728778389425409</v>
      </c>
      <c r="K342" s="36" t="str">
        <f>D342&amp;"|"&amp;F342</f>
        <v>Lowland|700to900</v>
      </c>
      <c r="L342" s="47"/>
      <c r="M342" s="132"/>
      <c r="N342" s="50"/>
      <c r="O342" s="37"/>
      <c r="P342" s="125"/>
    </row>
    <row r="343" spans="2:16">
      <c r="B343" s="135"/>
      <c r="C343" s="189" t="s">
        <v>241</v>
      </c>
      <c r="D343" s="189" t="s">
        <v>58</v>
      </c>
      <c r="E343" s="189" t="b">
        <v>1</v>
      </c>
      <c r="F343" s="189" t="s">
        <v>28</v>
      </c>
      <c r="G343" s="189" t="s">
        <v>10</v>
      </c>
      <c r="H343" s="46" t="str">
        <f>D343&amp;"|"&amp;E343&amp;"|"&amp;F343&amp;"|"&amp;G343</f>
        <v>Lowland|TRUE|Over1500|DrainedAr</v>
      </c>
      <c r="I343" s="132">
        <v>0.87418742961350626</v>
      </c>
      <c r="J343" s="50">
        <v>27.829932519994486</v>
      </c>
      <c r="K343" s="36" t="str">
        <f>D343&amp;"|"&amp;F343</f>
        <v>Lowland|Over1500</v>
      </c>
      <c r="L343" s="47"/>
      <c r="M343" s="132"/>
      <c r="N343" s="50"/>
      <c r="O343" s="37"/>
      <c r="P343" s="125"/>
    </row>
    <row r="344" spans="2:16">
      <c r="B344" s="135"/>
      <c r="C344" s="189" t="s">
        <v>241</v>
      </c>
      <c r="D344" s="189" t="s">
        <v>59</v>
      </c>
      <c r="E344" s="189" t="b">
        <v>0</v>
      </c>
      <c r="F344" s="189" t="s">
        <v>8</v>
      </c>
      <c r="G344" s="189" t="s">
        <v>9</v>
      </c>
      <c r="H344" s="46" t="str">
        <f>D344&amp;"|"&amp;E344&amp;"|"&amp;F344&amp;"|"&amp;G344</f>
        <v>Mixed|FALSE|600to700|FreeDrain</v>
      </c>
      <c r="I344" s="132">
        <v>0.0770854082672707</v>
      </c>
      <c r="J344" s="50">
        <v>31.467383593001422</v>
      </c>
      <c r="K344" s="36" t="str">
        <f>D344&amp;"|"&amp;F344</f>
        <v>Mixed|600to700</v>
      </c>
      <c r="L344" s="47"/>
      <c r="M344" s="132"/>
      <c r="N344" s="50"/>
      <c r="O344" s="37"/>
      <c r="P344" s="125"/>
    </row>
    <row r="345" spans="2:16">
      <c r="B345" s="135"/>
      <c r="C345" s="189" t="s">
        <v>241</v>
      </c>
      <c r="D345" s="189" t="s">
        <v>59</v>
      </c>
      <c r="E345" s="189" t="b">
        <v>1</v>
      </c>
      <c r="F345" s="189" t="s">
        <v>8</v>
      </c>
      <c r="G345" s="189" t="s">
        <v>9</v>
      </c>
      <c r="H345" s="46" t="str">
        <f>D345&amp;"|"&amp;E345&amp;"|"&amp;F345&amp;"|"&amp;G345</f>
        <v>Mixed|TRUE|600to700|FreeDrain</v>
      </c>
      <c r="I345" s="132">
        <v>0.076687945925547285</v>
      </c>
      <c r="J345" s="50">
        <v>31.378446874540384</v>
      </c>
      <c r="K345" s="36" t="str">
        <f>D345&amp;"|"&amp;F345</f>
        <v>Mixed|600to700</v>
      </c>
      <c r="L345" s="47"/>
      <c r="M345" s="132"/>
      <c r="N345" s="50"/>
      <c r="O345" s="37"/>
      <c r="P345" s="125"/>
    </row>
    <row r="346" spans="2:16">
      <c r="B346" s="135"/>
      <c r="C346" s="189" t="s">
        <v>241</v>
      </c>
      <c r="D346" s="189" t="s">
        <v>59</v>
      </c>
      <c r="E346" s="189" t="b">
        <v>0</v>
      </c>
      <c r="F346" s="189" t="s">
        <v>8</v>
      </c>
      <c r="G346" s="189" t="s">
        <v>10</v>
      </c>
      <c r="H346" s="46" t="str">
        <f>D346&amp;"|"&amp;E346&amp;"|"&amp;F346&amp;"|"&amp;G346</f>
        <v>Mixed|FALSE|600to700|DrainedAr</v>
      </c>
      <c r="I346" s="132">
        <v>0.3000900504465685</v>
      </c>
      <c r="J346" s="50">
        <v>21.702254419893261</v>
      </c>
      <c r="K346" s="36" t="str">
        <f>D346&amp;"|"&amp;F346</f>
        <v>Mixed|600to700</v>
      </c>
      <c r="L346" s="47"/>
      <c r="M346" s="132"/>
      <c r="N346" s="50"/>
      <c r="O346" s="37"/>
      <c r="P346" s="125"/>
    </row>
    <row r="347" spans="2:16">
      <c r="B347" s="135"/>
      <c r="C347" s="189" t="s">
        <v>241</v>
      </c>
      <c r="D347" s="189" t="s">
        <v>59</v>
      </c>
      <c r="E347" s="189" t="b">
        <v>1</v>
      </c>
      <c r="F347" s="189" t="s">
        <v>8</v>
      </c>
      <c r="G347" s="189" t="s">
        <v>10</v>
      </c>
      <c r="H347" s="46" t="str">
        <f>D347&amp;"|"&amp;E347&amp;"|"&amp;F347&amp;"|"&amp;G347</f>
        <v>Mixed|TRUE|600to700|DrainedAr</v>
      </c>
      <c r="I347" s="132">
        <v>0.29709732340348982</v>
      </c>
      <c r="J347" s="50">
        <v>21.424385442997433</v>
      </c>
      <c r="K347" s="36" t="str">
        <f>D347&amp;"|"&amp;F347</f>
        <v>Mixed|600to700</v>
      </c>
      <c r="L347" s="47"/>
      <c r="M347" s="132"/>
      <c r="N347" s="50"/>
      <c r="O347" s="37"/>
      <c r="P347" s="125"/>
    </row>
    <row r="348" spans="2:16">
      <c r="B348" s="135"/>
      <c r="C348" s="189" t="s">
        <v>241</v>
      </c>
      <c r="D348" s="189" t="s">
        <v>59</v>
      </c>
      <c r="E348" s="189" t="b">
        <v>0</v>
      </c>
      <c r="F348" s="189" t="s">
        <v>8</v>
      </c>
      <c r="G348" s="189" t="s">
        <v>11</v>
      </c>
      <c r="H348" s="46" t="str">
        <f>D348&amp;"|"&amp;E348&amp;"|"&amp;F348&amp;"|"&amp;G348</f>
        <v>Mixed|FALSE|600to700|DrainedArGr</v>
      </c>
      <c r="I348" s="132">
        <v>0.60179976813747238</v>
      </c>
      <c r="J348" s="50">
        <v>21.552585749936323</v>
      </c>
      <c r="K348" s="36" t="str">
        <f>D348&amp;"|"&amp;F348</f>
        <v>Mixed|600to700</v>
      </c>
      <c r="L348" s="47"/>
      <c r="M348" s="132"/>
      <c r="N348" s="50"/>
      <c r="O348" s="37"/>
      <c r="P348" s="125"/>
    </row>
    <row r="349" spans="2:16">
      <c r="B349" s="135"/>
      <c r="C349" s="189" t="s">
        <v>241</v>
      </c>
      <c r="D349" s="189" t="s">
        <v>59</v>
      </c>
      <c r="E349" s="189" t="b">
        <v>1</v>
      </c>
      <c r="F349" s="189" t="s">
        <v>8</v>
      </c>
      <c r="G349" s="189" t="s">
        <v>11</v>
      </c>
      <c r="H349" s="46" t="str">
        <f>D349&amp;"|"&amp;E349&amp;"|"&amp;F349&amp;"|"&amp;G349</f>
        <v>Mixed|TRUE|600to700|DrainedArGr</v>
      </c>
      <c r="I349" s="132">
        <v>0.59629491335518137</v>
      </c>
      <c r="J349" s="50">
        <v>21.180686114184041</v>
      </c>
      <c r="K349" s="36" t="str">
        <f>D349&amp;"|"&amp;F349</f>
        <v>Mixed|600to700</v>
      </c>
      <c r="L349" s="47"/>
      <c r="M349" s="132"/>
      <c r="N349" s="50"/>
      <c r="O349" s="37"/>
      <c r="P349" s="125"/>
    </row>
    <row r="350" spans="2:16">
      <c r="B350" s="135"/>
      <c r="C350" s="189" t="s">
        <v>241</v>
      </c>
      <c r="D350" s="189" t="s">
        <v>59</v>
      </c>
      <c r="E350" s="189" t="b">
        <v>1</v>
      </c>
      <c r="F350" s="189" t="s">
        <v>12</v>
      </c>
      <c r="G350" s="189" t="s">
        <v>9</v>
      </c>
      <c r="H350" s="46" t="str">
        <f>D350&amp;"|"&amp;E350&amp;"|"&amp;F350&amp;"|"&amp;G350</f>
        <v>Mixed|TRUE|700to900|FreeDrain</v>
      </c>
      <c r="I350" s="132">
        <v>0.18074680563787043</v>
      </c>
      <c r="J350" s="50">
        <v>38.380042119649993</v>
      </c>
      <c r="K350" s="36" t="str">
        <f>D350&amp;"|"&amp;F350</f>
        <v>Mixed|700to900</v>
      </c>
      <c r="L350" s="47"/>
      <c r="M350" s="132"/>
      <c r="N350" s="50"/>
      <c r="O350" s="37"/>
      <c r="P350" s="125"/>
    </row>
    <row r="351" spans="2:16">
      <c r="B351" s="135"/>
      <c r="C351" s="189" t="s">
        <v>241</v>
      </c>
      <c r="D351" s="189" t="s">
        <v>59</v>
      </c>
      <c r="E351" s="189" t="b">
        <v>0</v>
      </c>
      <c r="F351" s="189" t="s">
        <v>12</v>
      </c>
      <c r="G351" s="189" t="s">
        <v>10</v>
      </c>
      <c r="H351" s="46" t="str">
        <f>D351&amp;"|"&amp;E351&amp;"|"&amp;F351&amp;"|"&amp;G351</f>
        <v>Mixed|FALSE|700to900|DrainedAr</v>
      </c>
      <c r="I351" s="132">
        <v>0.61590119442900348</v>
      </c>
      <c r="J351" s="50">
        <v>28.268463718320056</v>
      </c>
      <c r="K351" s="36" t="str">
        <f>D351&amp;"|"&amp;F351</f>
        <v>Mixed|700to900</v>
      </c>
      <c r="L351" s="47"/>
      <c r="M351" s="132"/>
      <c r="N351" s="50"/>
      <c r="O351" s="37"/>
      <c r="P351" s="125"/>
    </row>
    <row r="352" spans="2:16">
      <c r="B352" s="135"/>
      <c r="C352" s="189" t="s">
        <v>241</v>
      </c>
      <c r="D352" s="189" t="s">
        <v>59</v>
      </c>
      <c r="E352" s="189" t="b">
        <v>1</v>
      </c>
      <c r="F352" s="189" t="s">
        <v>12</v>
      </c>
      <c r="G352" s="189" t="s">
        <v>10</v>
      </c>
      <c r="H352" s="46" t="str">
        <f>D352&amp;"|"&amp;E352&amp;"|"&amp;F352&amp;"|"&amp;G352</f>
        <v>Mixed|TRUE|700to900|DrainedAr</v>
      </c>
      <c r="I352" s="132">
        <v>0.61228160111017149</v>
      </c>
      <c r="J352" s="50">
        <v>27.906787804154845</v>
      </c>
      <c r="K352" s="36" t="str">
        <f>D352&amp;"|"&amp;F352</f>
        <v>Mixed|700to900</v>
      </c>
      <c r="L352" s="47"/>
      <c r="M352" s="132"/>
      <c r="N352" s="50"/>
      <c r="O352" s="37"/>
      <c r="P352" s="125"/>
    </row>
    <row r="353" spans="2:16">
      <c r="B353" s="135"/>
      <c r="C353" s="189" t="s">
        <v>241</v>
      </c>
      <c r="D353" s="189" t="s">
        <v>59</v>
      </c>
      <c r="E353" s="189" t="b">
        <v>0</v>
      </c>
      <c r="F353" s="189" t="s">
        <v>12</v>
      </c>
      <c r="G353" s="189" t="s">
        <v>11</v>
      </c>
      <c r="H353" s="46" t="str">
        <f>D353&amp;"|"&amp;E353&amp;"|"&amp;F353&amp;"|"&amp;G353</f>
        <v>Mixed|FALSE|700to900|DrainedArGr</v>
      </c>
      <c r="I353" s="132">
        <v>1.0099664167078888</v>
      </c>
      <c r="J353" s="50">
        <v>23.83099403564524</v>
      </c>
      <c r="K353" s="36" t="str">
        <f>D353&amp;"|"&amp;F353</f>
        <v>Mixed|700to900</v>
      </c>
      <c r="L353" s="47"/>
      <c r="M353" s="132"/>
      <c r="N353" s="50"/>
      <c r="O353" s="37"/>
      <c r="P353" s="125"/>
    </row>
    <row r="354" spans="2:16">
      <c r="B354" s="135"/>
      <c r="C354" s="189" t="s">
        <v>241</v>
      </c>
      <c r="D354" s="189" t="s">
        <v>59</v>
      </c>
      <c r="E354" s="189" t="b">
        <v>1</v>
      </c>
      <c r="F354" s="189" t="s">
        <v>12</v>
      </c>
      <c r="G354" s="189" t="s">
        <v>11</v>
      </c>
      <c r="H354" s="46" t="str">
        <f>D354&amp;"|"&amp;E354&amp;"|"&amp;F354&amp;"|"&amp;G354</f>
        <v>Mixed|TRUE|700to900|DrainedArGr</v>
      </c>
      <c r="I354" s="132">
        <v>1.0034338173314477</v>
      </c>
      <c r="J354" s="50">
        <v>23.36510323356443</v>
      </c>
      <c r="K354" s="36" t="str">
        <f>D354&amp;"|"&amp;F354</f>
        <v>Mixed|700to900</v>
      </c>
      <c r="L354" s="47"/>
      <c r="M354" s="132"/>
      <c r="N354" s="50"/>
      <c r="O354" s="37"/>
      <c r="P354" s="125"/>
    </row>
    <row r="355" spans="2:16">
      <c r="B355" s="135"/>
      <c r="C355" s="189" t="s">
        <v>241</v>
      </c>
      <c r="D355" s="189" t="s">
        <v>7</v>
      </c>
      <c r="E355" s="189" t="b">
        <v>0</v>
      </c>
      <c r="F355" s="189" t="s">
        <v>8</v>
      </c>
      <c r="G355" s="189" t="s">
        <v>9</v>
      </c>
      <c r="H355" s="46" t="str">
        <f>D355&amp;"|"&amp;E355&amp;"|"&amp;F355&amp;"|"&amp;G355</f>
        <v>Cereals|FALSE|600to700|FreeDrain</v>
      </c>
      <c r="I355" s="132">
        <v>0.17869023323683919</v>
      </c>
      <c r="J355" s="50">
        <v>77.846453000123716</v>
      </c>
      <c r="K355" s="36" t="str">
        <f>D355&amp;"|"&amp;F355</f>
        <v>Cereals|600to700</v>
      </c>
      <c r="L355" s="47"/>
      <c r="M355" s="132"/>
      <c r="N355" s="50"/>
      <c r="O355" s="37"/>
      <c r="P355" s="125"/>
    </row>
    <row r="356" spans="2:16">
      <c r="B356" s="135"/>
      <c r="C356" s="189" t="s">
        <v>241</v>
      </c>
      <c r="D356" s="189" t="s">
        <v>7</v>
      </c>
      <c r="E356" s="189" t="b">
        <v>1</v>
      </c>
      <c r="F356" s="189" t="s">
        <v>8</v>
      </c>
      <c r="G356" s="189" t="s">
        <v>9</v>
      </c>
      <c r="H356" s="46" t="str">
        <f>D356&amp;"|"&amp;E356&amp;"|"&amp;F356&amp;"|"&amp;G356</f>
        <v>Cereals|TRUE|600to700|FreeDrain</v>
      </c>
      <c r="I356" s="132">
        <v>0.1786595106255616</v>
      </c>
      <c r="J356" s="50">
        <v>77.610662984783445</v>
      </c>
      <c r="K356" s="36" t="str">
        <f>D356&amp;"|"&amp;F356</f>
        <v>Cereals|600to700</v>
      </c>
      <c r="L356" s="47"/>
      <c r="M356" s="132"/>
      <c r="N356" s="50"/>
      <c r="O356" s="37"/>
      <c r="P356" s="125"/>
    </row>
    <row r="357" spans="2:16">
      <c r="B357" s="135"/>
      <c r="C357" s="189" t="s">
        <v>241</v>
      </c>
      <c r="D357" s="189" t="s">
        <v>7</v>
      </c>
      <c r="E357" s="189" t="b">
        <v>0</v>
      </c>
      <c r="F357" s="189" t="s">
        <v>8</v>
      </c>
      <c r="G357" s="189" t="s">
        <v>10</v>
      </c>
      <c r="H357" s="46" t="str">
        <f>D357&amp;"|"&amp;E357&amp;"|"&amp;F357&amp;"|"&amp;G357</f>
        <v>Cereals|FALSE|600to700|DrainedAr</v>
      </c>
      <c r="I357" s="132">
        <v>1.0082322924428881</v>
      </c>
      <c r="J357" s="50">
        <v>56.866029265010155</v>
      </c>
      <c r="K357" s="36" t="str">
        <f>D357&amp;"|"&amp;F357</f>
        <v>Cereals|600to700</v>
      </c>
      <c r="L357" s="47"/>
      <c r="M357" s="132"/>
      <c r="N357" s="50"/>
      <c r="O357" s="37"/>
      <c r="P357" s="125"/>
    </row>
    <row r="358" spans="2:16">
      <c r="B358" s="135"/>
      <c r="C358" s="189" t="s">
        <v>241</v>
      </c>
      <c r="D358" s="189" t="s">
        <v>7</v>
      </c>
      <c r="E358" s="189" t="b">
        <v>1</v>
      </c>
      <c r="F358" s="189" t="s">
        <v>8</v>
      </c>
      <c r="G358" s="189" t="s">
        <v>10</v>
      </c>
      <c r="H358" s="46" t="str">
        <f>D358&amp;"|"&amp;E358&amp;"|"&amp;F358&amp;"|"&amp;G358</f>
        <v>Cereals|TRUE|600to700|DrainedAr</v>
      </c>
      <c r="I358" s="132">
        <v>1.0080262248104712</v>
      </c>
      <c r="J358" s="50">
        <v>56.699778293444048</v>
      </c>
      <c r="K358" s="36" t="str">
        <f>D358&amp;"|"&amp;F358</f>
        <v>Cereals|600to700</v>
      </c>
      <c r="L358" s="47"/>
      <c r="M358" s="132"/>
      <c r="N358" s="50"/>
      <c r="O358" s="37"/>
      <c r="P358" s="125"/>
    </row>
    <row r="359" spans="2:16">
      <c r="B359" s="135"/>
      <c r="C359" s="189" t="s">
        <v>241</v>
      </c>
      <c r="D359" s="189" t="s">
        <v>7</v>
      </c>
      <c r="E359" s="189" t="b">
        <v>0</v>
      </c>
      <c r="F359" s="189" t="s">
        <v>8</v>
      </c>
      <c r="G359" s="189" t="s">
        <v>11</v>
      </c>
      <c r="H359" s="46" t="str">
        <f>D359&amp;"|"&amp;E359&amp;"|"&amp;F359&amp;"|"&amp;G359</f>
        <v>Cereals|FALSE|600to700|DrainedArGr</v>
      </c>
      <c r="I359" s="132">
        <v>1.6576644219532657</v>
      </c>
      <c r="J359" s="50">
        <v>60.483239346547656</v>
      </c>
      <c r="K359" s="36" t="str">
        <f>D359&amp;"|"&amp;F359</f>
        <v>Cereals|600to700</v>
      </c>
      <c r="L359" s="47"/>
      <c r="M359" s="132"/>
      <c r="N359" s="50"/>
      <c r="O359" s="37"/>
      <c r="P359" s="125"/>
    </row>
    <row r="360" spans="2:16">
      <c r="B360" s="135"/>
      <c r="C360" s="189" t="s">
        <v>241</v>
      </c>
      <c r="D360" s="189" t="s">
        <v>7</v>
      </c>
      <c r="E360" s="189" t="b">
        <v>1</v>
      </c>
      <c r="F360" s="189" t="s">
        <v>8</v>
      </c>
      <c r="G360" s="189" t="s">
        <v>11</v>
      </c>
      <c r="H360" s="46" t="str">
        <f>D360&amp;"|"&amp;E360&amp;"|"&amp;F360&amp;"|"&amp;G360</f>
        <v>Cereals|TRUE|600to700|DrainedArGr</v>
      </c>
      <c r="I360" s="132">
        <v>1.6572621543897081</v>
      </c>
      <c r="J360" s="50">
        <v>60.315887342308521</v>
      </c>
      <c r="K360" s="36" t="str">
        <f>D360&amp;"|"&amp;F360</f>
        <v>Cereals|600to700</v>
      </c>
      <c r="L360" s="47"/>
      <c r="M360" s="132"/>
      <c r="N360" s="50"/>
      <c r="O360" s="37"/>
      <c r="P360" s="125"/>
    </row>
    <row r="361" spans="2:16">
      <c r="B361" s="135"/>
      <c r="C361" s="189" t="s">
        <v>241</v>
      </c>
      <c r="D361" s="189" t="s">
        <v>7</v>
      </c>
      <c r="E361" s="189" t="b">
        <v>0</v>
      </c>
      <c r="F361" s="189" t="s">
        <v>12</v>
      </c>
      <c r="G361" s="189" t="s">
        <v>9</v>
      </c>
      <c r="H361" s="46" t="str">
        <f>D361&amp;"|"&amp;E361&amp;"|"&amp;F361&amp;"|"&amp;G361</f>
        <v>Cereals|FALSE|700to900|FreeDrain</v>
      </c>
      <c r="I361" s="132">
        <v>0.5171954450578431</v>
      </c>
      <c r="J361" s="50">
        <v>92.921716954884076</v>
      </c>
      <c r="K361" s="36" t="str">
        <f>D361&amp;"|"&amp;F361</f>
        <v>Cereals|700to900</v>
      </c>
      <c r="L361" s="47"/>
      <c r="M361" s="132"/>
      <c r="N361" s="50"/>
      <c r="O361" s="37"/>
      <c r="P361" s="125"/>
    </row>
    <row r="362" spans="2:16">
      <c r="B362" s="135"/>
      <c r="C362" s="189" t="s">
        <v>241</v>
      </c>
      <c r="D362" s="189" t="s">
        <v>7</v>
      </c>
      <c r="E362" s="189" t="b">
        <v>1</v>
      </c>
      <c r="F362" s="189" t="s">
        <v>12</v>
      </c>
      <c r="G362" s="189" t="s">
        <v>9</v>
      </c>
      <c r="H362" s="46" t="str">
        <f>D362&amp;"|"&amp;E362&amp;"|"&amp;F362&amp;"|"&amp;G362</f>
        <v>Cereals|TRUE|700to900|FreeDrain</v>
      </c>
      <c r="I362" s="132">
        <v>0.51713864993076375</v>
      </c>
      <c r="J362" s="50">
        <v>92.642367632980708</v>
      </c>
      <c r="K362" s="36" t="str">
        <f>D362&amp;"|"&amp;F362</f>
        <v>Cereals|700to900</v>
      </c>
      <c r="L362" s="47"/>
      <c r="M362" s="132"/>
      <c r="N362" s="50"/>
      <c r="O362" s="37"/>
      <c r="P362" s="125"/>
    </row>
    <row r="363" spans="2:16">
      <c r="B363" s="135"/>
      <c r="C363" s="189" t="s">
        <v>241</v>
      </c>
      <c r="D363" s="189" t="s">
        <v>7</v>
      </c>
      <c r="E363" s="189" t="b">
        <v>0</v>
      </c>
      <c r="F363" s="189" t="s">
        <v>12</v>
      </c>
      <c r="G363" s="189" t="s">
        <v>10</v>
      </c>
      <c r="H363" s="46" t="str">
        <f>D363&amp;"|"&amp;E363&amp;"|"&amp;F363&amp;"|"&amp;G363</f>
        <v>Cereals|FALSE|700to900|DrainedAr</v>
      </c>
      <c r="I363" s="132">
        <v>2.1699933228558574</v>
      </c>
      <c r="J363" s="50">
        <v>70.878807206646627</v>
      </c>
      <c r="K363" s="36" t="str">
        <f>D363&amp;"|"&amp;F363</f>
        <v>Cereals|700to900</v>
      </c>
      <c r="L363" s="47"/>
      <c r="M363" s="132"/>
      <c r="N363" s="50"/>
      <c r="O363" s="37"/>
      <c r="P363" s="125"/>
    </row>
    <row r="364" spans="2:16">
      <c r="B364" s="135"/>
      <c r="C364" s="189" t="s">
        <v>241</v>
      </c>
      <c r="D364" s="189" t="s">
        <v>7</v>
      </c>
      <c r="E364" s="189" t="b">
        <v>1</v>
      </c>
      <c r="F364" s="189" t="s">
        <v>12</v>
      </c>
      <c r="G364" s="189" t="s">
        <v>10</v>
      </c>
      <c r="H364" s="46" t="str">
        <f>D364&amp;"|"&amp;E364&amp;"|"&amp;F364&amp;"|"&amp;G364</f>
        <v>Cereals|TRUE|700to900|DrainedAr</v>
      </c>
      <c r="I364" s="132">
        <v>2.1697179922680654</v>
      </c>
      <c r="J364" s="50">
        <v>70.675673390882224</v>
      </c>
      <c r="K364" s="36" t="str">
        <f>D364&amp;"|"&amp;F364</f>
        <v>Cereals|700to900</v>
      </c>
      <c r="L364" s="47"/>
      <c r="M364" s="132"/>
      <c r="N364" s="50"/>
      <c r="O364" s="37"/>
      <c r="P364" s="125"/>
    </row>
    <row r="365" spans="2:16">
      <c r="B365" s="135"/>
      <c r="C365" s="189" t="s">
        <v>241</v>
      </c>
      <c r="D365" s="189" t="s">
        <v>7</v>
      </c>
      <c r="E365" s="189" t="b">
        <v>0</v>
      </c>
      <c r="F365" s="189" t="s">
        <v>12</v>
      </c>
      <c r="G365" s="189" t="s">
        <v>11</v>
      </c>
      <c r="H365" s="46" t="str">
        <f>D365&amp;"|"&amp;E365&amp;"|"&amp;F365&amp;"|"&amp;G365</f>
        <v>Cereals|FALSE|700to900|DrainedArGr</v>
      </c>
      <c r="I365" s="132">
        <v>2.9203812288229223</v>
      </c>
      <c r="J365" s="50">
        <v>66.1062497771613</v>
      </c>
      <c r="K365" s="36" t="str">
        <f>D365&amp;"|"&amp;F365</f>
        <v>Cereals|700to900</v>
      </c>
      <c r="L365" s="47"/>
      <c r="M365" s="132"/>
      <c r="N365" s="50"/>
      <c r="O365" s="37"/>
      <c r="P365" s="125"/>
    </row>
    <row r="366" spans="2:16">
      <c r="B366" s="135"/>
      <c r="C366" s="189" t="s">
        <v>241</v>
      </c>
      <c r="D366" s="189" t="s">
        <v>7</v>
      </c>
      <c r="E366" s="189" t="b">
        <v>1</v>
      </c>
      <c r="F366" s="189" t="s">
        <v>12</v>
      </c>
      <c r="G366" s="189" t="s">
        <v>11</v>
      </c>
      <c r="H366" s="46" t="str">
        <f>D366&amp;"|"&amp;E366&amp;"|"&amp;F366&amp;"|"&amp;G366</f>
        <v>Cereals|TRUE|700to900|DrainedArGr</v>
      </c>
      <c r="I366" s="132">
        <v>2.9198615723810448</v>
      </c>
      <c r="J366" s="50">
        <v>65.932521021210434</v>
      </c>
      <c r="K366" s="36" t="str">
        <f>D366&amp;"|"&amp;F366</f>
        <v>Cereals|700to900</v>
      </c>
      <c r="L366" s="47"/>
      <c r="M366" s="132"/>
      <c r="N366" s="50"/>
      <c r="O366" s="37"/>
      <c r="P366" s="125"/>
    </row>
    <row r="367" spans="2:16">
      <c r="B367" s="135"/>
      <c r="C367" s="189" t="s">
        <v>241</v>
      </c>
      <c r="D367" s="189" t="s">
        <v>7</v>
      </c>
      <c r="E367" s="189" t="b">
        <v>1</v>
      </c>
      <c r="F367" s="189" t="s">
        <v>28</v>
      </c>
      <c r="G367" s="189" t="s">
        <v>9</v>
      </c>
      <c r="H367" s="46" t="str">
        <f>D367&amp;"|"&amp;E367&amp;"|"&amp;F367&amp;"|"&amp;G367</f>
        <v>Cereals|TRUE|Over1500|FreeDrain</v>
      </c>
      <c r="I367" s="132">
        <v>2.5271891499440993</v>
      </c>
      <c r="J367" s="50">
        <v>103.34871051120544</v>
      </c>
      <c r="K367" s="36" t="str">
        <f>D367&amp;"|"&amp;F367</f>
        <v>Cereals|Over1500</v>
      </c>
      <c r="L367" s="47"/>
      <c r="M367" s="132"/>
      <c r="N367" s="50"/>
      <c r="O367" s="37"/>
      <c r="P367" s="125"/>
    </row>
    <row r="368" spans="2:16">
      <c r="B368" s="135"/>
      <c r="C368" s="189" t="s">
        <v>241</v>
      </c>
      <c r="D368" s="189" t="s">
        <v>25</v>
      </c>
      <c r="E368" s="189" t="b">
        <v>0</v>
      </c>
      <c r="F368" s="189" t="s">
        <v>8</v>
      </c>
      <c r="G368" s="189" t="s">
        <v>9</v>
      </c>
      <c r="H368" s="46" t="str">
        <f>D368&amp;"|"&amp;E368&amp;"|"&amp;F368&amp;"|"&amp;G368</f>
        <v>General|FALSE|600to700|FreeDrain</v>
      </c>
      <c r="I368" s="132">
        <v>0.07306322493817427</v>
      </c>
      <c r="J368" s="50">
        <v>35.833035873233214</v>
      </c>
      <c r="K368" s="36" t="str">
        <f>D368&amp;"|"&amp;F368</f>
        <v>General|600to700</v>
      </c>
      <c r="L368" s="47"/>
      <c r="M368" s="132"/>
      <c r="N368" s="50"/>
      <c r="O368" s="37"/>
      <c r="P368" s="125"/>
    </row>
    <row r="369" spans="2:16">
      <c r="B369" s="135"/>
      <c r="C369" s="189" t="s">
        <v>241</v>
      </c>
      <c r="D369" s="189" t="s">
        <v>25</v>
      </c>
      <c r="E369" s="189" t="b">
        <v>1</v>
      </c>
      <c r="F369" s="189" t="s">
        <v>8</v>
      </c>
      <c r="G369" s="189" t="s">
        <v>9</v>
      </c>
      <c r="H369" s="46" t="str">
        <f>D369&amp;"|"&amp;E369&amp;"|"&amp;F369&amp;"|"&amp;G369</f>
        <v>General|TRUE|600to700|FreeDrain</v>
      </c>
      <c r="I369" s="132">
        <v>0.07306322493817427</v>
      </c>
      <c r="J369" s="50">
        <v>35.739192304043037</v>
      </c>
      <c r="K369" s="36" t="str">
        <f>D369&amp;"|"&amp;F369</f>
        <v>General|600to700</v>
      </c>
      <c r="L369" s="47"/>
      <c r="M369" s="132"/>
      <c r="N369" s="50"/>
      <c r="O369" s="37"/>
      <c r="P369" s="125"/>
    </row>
    <row r="370" spans="2:16">
      <c r="B370" s="135"/>
      <c r="C370" s="189" t="s">
        <v>241</v>
      </c>
      <c r="D370" s="189" t="s">
        <v>25</v>
      </c>
      <c r="E370" s="189" t="b">
        <v>0</v>
      </c>
      <c r="F370" s="189" t="s">
        <v>8</v>
      </c>
      <c r="G370" s="189" t="s">
        <v>10</v>
      </c>
      <c r="H370" s="46" t="str">
        <f>D370&amp;"|"&amp;E370&amp;"|"&amp;F370&amp;"|"&amp;G370</f>
        <v>General|FALSE|600to700|DrainedAr</v>
      </c>
      <c r="I370" s="132">
        <v>0.40242138787359016</v>
      </c>
      <c r="J370" s="50">
        <v>25.12807904154085</v>
      </c>
      <c r="K370" s="36" t="str">
        <f>D370&amp;"|"&amp;F370</f>
        <v>General|600to700</v>
      </c>
      <c r="L370" s="47"/>
      <c r="M370" s="132"/>
      <c r="N370" s="50"/>
      <c r="O370" s="37"/>
      <c r="P370" s="125"/>
    </row>
    <row r="371" spans="2:16">
      <c r="B371" s="135"/>
      <c r="C371" s="189" t="s">
        <v>241</v>
      </c>
      <c r="D371" s="189" t="s">
        <v>25</v>
      </c>
      <c r="E371" s="189" t="b">
        <v>1</v>
      </c>
      <c r="F371" s="189" t="s">
        <v>8</v>
      </c>
      <c r="G371" s="189" t="s">
        <v>10</v>
      </c>
      <c r="H371" s="46" t="str">
        <f>D371&amp;"|"&amp;E371&amp;"|"&amp;F371&amp;"|"&amp;G371</f>
        <v>General|TRUE|600to700|DrainedAr</v>
      </c>
      <c r="I371" s="132">
        <v>0.40242138787359016</v>
      </c>
      <c r="J371" s="50">
        <v>25.067716844696029</v>
      </c>
      <c r="K371" s="36" t="str">
        <f>D371&amp;"|"&amp;F371</f>
        <v>General|600to700</v>
      </c>
      <c r="L371" s="47"/>
      <c r="M371" s="132"/>
      <c r="N371" s="50"/>
      <c r="O371" s="37"/>
      <c r="P371" s="125"/>
    </row>
    <row r="372" spans="2:16">
      <c r="B372" s="135"/>
      <c r="C372" s="189" t="s">
        <v>241</v>
      </c>
      <c r="D372" s="189" t="s">
        <v>25</v>
      </c>
      <c r="E372" s="189" t="b">
        <v>0</v>
      </c>
      <c r="F372" s="189" t="s">
        <v>8</v>
      </c>
      <c r="G372" s="189" t="s">
        <v>11</v>
      </c>
      <c r="H372" s="46" t="str">
        <f>D372&amp;"|"&amp;E372&amp;"|"&amp;F372&amp;"|"&amp;G372</f>
        <v>General|FALSE|600to700|DrainedArGr</v>
      </c>
      <c r="I372" s="132">
        <v>0.68597718607137981</v>
      </c>
      <c r="J372" s="50">
        <v>26.124648594182958</v>
      </c>
      <c r="K372" s="36" t="str">
        <f>D372&amp;"|"&amp;F372</f>
        <v>General|600to700</v>
      </c>
      <c r="L372" s="47"/>
      <c r="M372" s="132"/>
      <c r="N372" s="50"/>
      <c r="O372" s="37"/>
      <c r="P372" s="125"/>
    </row>
    <row r="373" spans="2:16">
      <c r="B373" s="135"/>
      <c r="C373" s="189" t="s">
        <v>241</v>
      </c>
      <c r="D373" s="189" t="s">
        <v>25</v>
      </c>
      <c r="E373" s="189" t="b">
        <v>1</v>
      </c>
      <c r="F373" s="189" t="s">
        <v>8</v>
      </c>
      <c r="G373" s="189" t="s">
        <v>11</v>
      </c>
      <c r="H373" s="46" t="str">
        <f>D373&amp;"|"&amp;E373&amp;"|"&amp;F373&amp;"|"&amp;G373</f>
        <v>General|TRUE|600to700|DrainedArGr</v>
      </c>
      <c r="I373" s="132">
        <v>0.68597718607137981</v>
      </c>
      <c r="J373" s="50">
        <v>26.06652811703314</v>
      </c>
      <c r="K373" s="36" t="str">
        <f>D373&amp;"|"&amp;F373</f>
        <v>General|600to700</v>
      </c>
      <c r="L373" s="47"/>
      <c r="M373" s="132"/>
      <c r="N373" s="50"/>
      <c r="O373" s="37"/>
      <c r="P373" s="125"/>
    </row>
    <row r="374" spans="2:16">
      <c r="B374" s="135"/>
      <c r="C374" s="189" t="s">
        <v>241</v>
      </c>
      <c r="D374" s="189" t="s">
        <v>25</v>
      </c>
      <c r="E374" s="189" t="b">
        <v>0</v>
      </c>
      <c r="F374" s="189" t="s">
        <v>12</v>
      </c>
      <c r="G374" s="189" t="s">
        <v>9</v>
      </c>
      <c r="H374" s="46" t="str">
        <f>D374&amp;"|"&amp;E374&amp;"|"&amp;F374&amp;"|"&amp;G374</f>
        <v>General|FALSE|700to900|FreeDrain</v>
      </c>
      <c r="I374" s="132">
        <v>0.20748401186788407</v>
      </c>
      <c r="J374" s="50">
        <v>42.592554344921965</v>
      </c>
      <c r="K374" s="36" t="str">
        <f>D374&amp;"|"&amp;F374</f>
        <v>General|700to900</v>
      </c>
      <c r="L374" s="47"/>
      <c r="M374" s="132"/>
      <c r="N374" s="50"/>
      <c r="O374" s="37"/>
      <c r="P374" s="125"/>
    </row>
    <row r="375" spans="2:16">
      <c r="B375" s="135"/>
      <c r="C375" s="189" t="s">
        <v>241</v>
      </c>
      <c r="D375" s="189" t="s">
        <v>25</v>
      </c>
      <c r="E375" s="189" t="b">
        <v>1</v>
      </c>
      <c r="F375" s="189" t="s">
        <v>12</v>
      </c>
      <c r="G375" s="189" t="s">
        <v>9</v>
      </c>
      <c r="H375" s="46" t="str">
        <f>D375&amp;"|"&amp;E375&amp;"|"&amp;F375&amp;"|"&amp;G375</f>
        <v>General|TRUE|700to900|FreeDrain</v>
      </c>
      <c r="I375" s="132">
        <v>0.20748401186788407</v>
      </c>
      <c r="J375" s="50">
        <v>42.482152551195178</v>
      </c>
      <c r="K375" s="36" t="str">
        <f>D375&amp;"|"&amp;F375</f>
        <v>General|700to900</v>
      </c>
      <c r="L375" s="47"/>
      <c r="M375" s="132"/>
      <c r="N375" s="50"/>
      <c r="O375" s="37"/>
      <c r="P375" s="125"/>
    </row>
    <row r="376" spans="2:16">
      <c r="B376" s="135"/>
      <c r="C376" s="189" t="s">
        <v>241</v>
      </c>
      <c r="D376" s="189" t="s">
        <v>25</v>
      </c>
      <c r="E376" s="189" t="b">
        <v>0</v>
      </c>
      <c r="F376" s="189" t="s">
        <v>12</v>
      </c>
      <c r="G376" s="189" t="s">
        <v>10</v>
      </c>
      <c r="H376" s="46" t="str">
        <f>D376&amp;"|"&amp;E376&amp;"|"&amp;F376&amp;"|"&amp;G376</f>
        <v>General|FALSE|700to900|DrainedAr</v>
      </c>
      <c r="I376" s="132">
        <v>0.84058087771565992</v>
      </c>
      <c r="J376" s="50">
        <v>31.026178397506875</v>
      </c>
      <c r="K376" s="36" t="str">
        <f>D376&amp;"|"&amp;F376</f>
        <v>General|700to900</v>
      </c>
      <c r="L376" s="47"/>
      <c r="M376" s="132"/>
      <c r="N376" s="50"/>
      <c r="O376" s="37"/>
      <c r="P376" s="125"/>
    </row>
    <row r="377" spans="2:16">
      <c r="B377" s="135"/>
      <c r="C377" s="189" t="s">
        <v>241</v>
      </c>
      <c r="D377" s="189" t="s">
        <v>25</v>
      </c>
      <c r="E377" s="189" t="b">
        <v>1</v>
      </c>
      <c r="F377" s="189" t="s">
        <v>12</v>
      </c>
      <c r="G377" s="189" t="s">
        <v>10</v>
      </c>
      <c r="H377" s="46" t="str">
        <f>D377&amp;"|"&amp;E377&amp;"|"&amp;F377&amp;"|"&amp;G377</f>
        <v>General|TRUE|700to900|DrainedAr</v>
      </c>
      <c r="I377" s="132">
        <v>0.84058087771565992</v>
      </c>
      <c r="J377" s="50">
        <v>30.953335614752376</v>
      </c>
      <c r="K377" s="36" t="str">
        <f>D377&amp;"|"&amp;F377</f>
        <v>General|700to900</v>
      </c>
      <c r="L377" s="47"/>
      <c r="M377" s="132"/>
      <c r="N377" s="50"/>
      <c r="O377" s="37"/>
      <c r="P377" s="125"/>
    </row>
    <row r="378" spans="2:16">
      <c r="B378" s="135"/>
      <c r="C378" s="189" t="s">
        <v>241</v>
      </c>
      <c r="D378" s="189" t="s">
        <v>25</v>
      </c>
      <c r="E378" s="189" t="b">
        <v>0</v>
      </c>
      <c r="F378" s="189" t="s">
        <v>12</v>
      </c>
      <c r="G378" s="189" t="s">
        <v>11</v>
      </c>
      <c r="H378" s="46" t="str">
        <f>D378&amp;"|"&amp;E378&amp;"|"&amp;F378&amp;"|"&amp;G378</f>
        <v>General|FALSE|700to900|DrainedArGr</v>
      </c>
      <c r="I378" s="132">
        <v>1.176592825847266</v>
      </c>
      <c r="J378" s="50">
        <v>27.977174387686233</v>
      </c>
      <c r="K378" s="36" t="str">
        <f>D378&amp;"|"&amp;F378</f>
        <v>General|700to900</v>
      </c>
      <c r="L378" s="47"/>
      <c r="M378" s="132"/>
      <c r="N378" s="50"/>
      <c r="O378" s="37"/>
      <c r="P378" s="125"/>
    </row>
    <row r="379" spans="2:16">
      <c r="B379" s="135"/>
      <c r="C379" s="189" t="s">
        <v>241</v>
      </c>
      <c r="D379" s="189" t="s">
        <v>25</v>
      </c>
      <c r="E379" s="189" t="b">
        <v>1</v>
      </c>
      <c r="F379" s="189" t="s">
        <v>12</v>
      </c>
      <c r="G379" s="189" t="s">
        <v>11</v>
      </c>
      <c r="H379" s="46" t="str">
        <f>D379&amp;"|"&amp;E379&amp;"|"&amp;F379&amp;"|"&amp;G379</f>
        <v>General|TRUE|700to900|DrainedArGr</v>
      </c>
      <c r="I379" s="132">
        <v>1.176592825847266</v>
      </c>
      <c r="J379" s="50">
        <v>27.918873376028102</v>
      </c>
      <c r="K379" s="36" t="str">
        <f>D379&amp;"|"&amp;F379</f>
        <v>General|700to900</v>
      </c>
      <c r="L379" s="47"/>
      <c r="M379" s="132"/>
      <c r="N379" s="50"/>
      <c r="O379" s="37"/>
      <c r="P379" s="125"/>
    </row>
    <row r="380" spans="2:16">
      <c r="B380" s="135"/>
      <c r="C380" s="189" t="s">
        <v>241</v>
      </c>
      <c r="D380" s="189" t="s">
        <v>25</v>
      </c>
      <c r="E380" s="189" t="b">
        <v>1</v>
      </c>
      <c r="F380" s="189" t="s">
        <v>28</v>
      </c>
      <c r="G380" s="189" t="s">
        <v>9</v>
      </c>
      <c r="H380" s="46" t="str">
        <f>D380&amp;"|"&amp;E380&amp;"|"&amp;F380&amp;"|"&amp;G380</f>
        <v>General|TRUE|Over1500|FreeDrain</v>
      </c>
      <c r="I380" s="132">
        <v>1.0403760412561411</v>
      </c>
      <c r="J380" s="50">
        <v>46.799834412038322</v>
      </c>
      <c r="K380" s="36" t="str">
        <f>D380&amp;"|"&amp;F380</f>
        <v>General|Over1500</v>
      </c>
      <c r="L380" s="47"/>
      <c r="M380" s="132"/>
      <c r="N380" s="50"/>
      <c r="O380" s="37"/>
      <c r="P380" s="125"/>
    </row>
    <row r="381" spans="2:16">
      <c r="B381" s="135"/>
      <c r="C381" s="189" t="s">
        <v>241</v>
      </c>
      <c r="D381" s="189" t="s">
        <v>32</v>
      </c>
      <c r="E381" s="189" t="b">
        <v>0</v>
      </c>
      <c r="F381" s="189" t="s">
        <v>8</v>
      </c>
      <c r="G381" s="189" t="s">
        <v>9</v>
      </c>
      <c r="H381" s="46" t="str">
        <f>D381&amp;"|"&amp;E381&amp;"|"&amp;F381&amp;"|"&amp;G381</f>
        <v>Horticulture|FALSE|600to700|FreeDrain</v>
      </c>
      <c r="I381" s="132">
        <v>0.033996747360358084</v>
      </c>
      <c r="J381" s="50">
        <v>14.143185777216893</v>
      </c>
      <c r="K381" s="36" t="str">
        <f>D381&amp;"|"&amp;F381</f>
        <v>Horticulture|600to700</v>
      </c>
      <c r="L381" s="47"/>
      <c r="M381" s="132"/>
      <c r="N381" s="50"/>
      <c r="O381" s="37"/>
      <c r="P381" s="125"/>
    </row>
    <row r="382" spans="2:16">
      <c r="B382" s="135"/>
      <c r="C382" s="189" t="s">
        <v>241</v>
      </c>
      <c r="D382" s="189" t="s">
        <v>32</v>
      </c>
      <c r="E382" s="189" t="b">
        <v>1</v>
      </c>
      <c r="F382" s="189" t="s">
        <v>8</v>
      </c>
      <c r="G382" s="189" t="s">
        <v>9</v>
      </c>
      <c r="H382" s="46" t="str">
        <f>D382&amp;"|"&amp;E382&amp;"|"&amp;F382&amp;"|"&amp;G382</f>
        <v>Horticulture|TRUE|600to700|FreeDrain</v>
      </c>
      <c r="I382" s="132">
        <v>0.033996747360358084</v>
      </c>
      <c r="J382" s="50">
        <v>14.10692547055134</v>
      </c>
      <c r="K382" s="36" t="str">
        <f>D382&amp;"|"&amp;F382</f>
        <v>Horticulture|600to700</v>
      </c>
      <c r="L382" s="47"/>
      <c r="M382" s="132"/>
      <c r="N382" s="50"/>
      <c r="O382" s="37"/>
      <c r="P382" s="125"/>
    </row>
    <row r="383" spans="2:16">
      <c r="B383" s="135"/>
      <c r="C383" s="189" t="s">
        <v>241</v>
      </c>
      <c r="D383" s="189" t="s">
        <v>32</v>
      </c>
      <c r="E383" s="189" t="b">
        <v>0</v>
      </c>
      <c r="F383" s="189" t="s">
        <v>8</v>
      </c>
      <c r="G383" s="189" t="s">
        <v>10</v>
      </c>
      <c r="H383" s="46" t="str">
        <f>D383&amp;"|"&amp;E383&amp;"|"&amp;F383&amp;"|"&amp;G383</f>
        <v>Horticulture|FALSE|600to700|DrainedAr</v>
      </c>
      <c r="I383" s="132">
        <v>0.20077231074281324</v>
      </c>
      <c r="J383" s="50">
        <v>9.8953003018938652</v>
      </c>
      <c r="K383" s="36" t="str">
        <f>D383&amp;"|"&amp;F383</f>
        <v>Horticulture|600to700</v>
      </c>
      <c r="L383" s="47"/>
      <c r="M383" s="132"/>
      <c r="N383" s="50"/>
      <c r="O383" s="37"/>
      <c r="P383" s="125"/>
    </row>
    <row r="384" spans="2:16">
      <c r="B384" s="135"/>
      <c r="C384" s="189" t="s">
        <v>241</v>
      </c>
      <c r="D384" s="189" t="s">
        <v>32</v>
      </c>
      <c r="E384" s="189" t="b">
        <v>1</v>
      </c>
      <c r="F384" s="189" t="s">
        <v>8</v>
      </c>
      <c r="G384" s="189" t="s">
        <v>10</v>
      </c>
      <c r="H384" s="46" t="str">
        <f>D384&amp;"|"&amp;E384&amp;"|"&amp;F384&amp;"|"&amp;G384</f>
        <v>Horticulture|TRUE|600to700|DrainedAr</v>
      </c>
      <c r="I384" s="132">
        <v>0.20077231074281324</v>
      </c>
      <c r="J384" s="50">
        <v>9.87198207420141</v>
      </c>
      <c r="K384" s="36" t="str">
        <f>D384&amp;"|"&amp;F384</f>
        <v>Horticulture|600to700</v>
      </c>
      <c r="L384" s="47"/>
      <c r="M384" s="132"/>
      <c r="N384" s="50"/>
      <c r="O384" s="37"/>
      <c r="P384" s="125"/>
    </row>
    <row r="385" spans="2:16">
      <c r="B385" s="135"/>
      <c r="C385" s="189" t="s">
        <v>241</v>
      </c>
      <c r="D385" s="189" t="s">
        <v>32</v>
      </c>
      <c r="E385" s="189" t="b">
        <v>0</v>
      </c>
      <c r="F385" s="189" t="s">
        <v>8</v>
      </c>
      <c r="G385" s="189" t="s">
        <v>11</v>
      </c>
      <c r="H385" s="46" t="str">
        <f>D385&amp;"|"&amp;E385&amp;"|"&amp;F385&amp;"|"&amp;G385</f>
        <v>Horticulture|FALSE|600to700|DrainedArGr</v>
      </c>
      <c r="I385" s="132">
        <v>0.34017707487413862</v>
      </c>
      <c r="J385" s="50">
        <v>10.217237380305624</v>
      </c>
      <c r="K385" s="36" t="str">
        <f>D385&amp;"|"&amp;F385</f>
        <v>Horticulture|600to700</v>
      </c>
      <c r="L385" s="47"/>
      <c r="M385" s="132"/>
      <c r="N385" s="50"/>
      <c r="O385" s="37"/>
      <c r="P385" s="125"/>
    </row>
    <row r="386" spans="2:16">
      <c r="B386" s="135"/>
      <c r="C386" s="189" t="s">
        <v>241</v>
      </c>
      <c r="D386" s="189" t="s">
        <v>32</v>
      </c>
      <c r="E386" s="189" t="b">
        <v>1</v>
      </c>
      <c r="F386" s="189" t="s">
        <v>8</v>
      </c>
      <c r="G386" s="189" t="s">
        <v>11</v>
      </c>
      <c r="H386" s="46" t="str">
        <f>D386&amp;"|"&amp;E386&amp;"|"&amp;F386&amp;"|"&amp;G386</f>
        <v>Horticulture|TRUE|600to700|DrainedArGr</v>
      </c>
      <c r="I386" s="132">
        <v>0.34017707487413862</v>
      </c>
      <c r="J386" s="50">
        <v>10.194803969037922</v>
      </c>
      <c r="K386" s="36" t="str">
        <f>D386&amp;"|"&amp;F386</f>
        <v>Horticulture|600to700</v>
      </c>
      <c r="L386" s="47"/>
      <c r="M386" s="132"/>
      <c r="N386" s="50"/>
      <c r="O386" s="37"/>
      <c r="P386" s="125"/>
    </row>
    <row r="387" spans="2:16">
      <c r="B387" s="135"/>
      <c r="C387" s="189" t="s">
        <v>241</v>
      </c>
      <c r="D387" s="189" t="s">
        <v>32</v>
      </c>
      <c r="E387" s="189" t="b">
        <v>1</v>
      </c>
      <c r="F387" s="189" t="s">
        <v>12</v>
      </c>
      <c r="G387" s="189" t="s">
        <v>9</v>
      </c>
      <c r="H387" s="46" t="str">
        <f>D387&amp;"|"&amp;E387&amp;"|"&amp;F387&amp;"|"&amp;G387</f>
        <v>Horticulture|TRUE|700to900|FreeDrain</v>
      </c>
      <c r="I387" s="132">
        <v>0.098883123275577314</v>
      </c>
      <c r="J387" s="50">
        <v>16.720813745434882</v>
      </c>
      <c r="K387" s="36" t="str">
        <f>D387&amp;"|"&amp;F387</f>
        <v>Horticulture|700to900</v>
      </c>
      <c r="L387" s="47"/>
      <c r="M387" s="132"/>
      <c r="N387" s="50"/>
      <c r="O387" s="37"/>
      <c r="P387" s="125"/>
    </row>
    <row r="388" spans="2:16">
      <c r="B388" s="135"/>
      <c r="C388" s="189" t="s">
        <v>241</v>
      </c>
      <c r="D388" s="189" t="s">
        <v>32</v>
      </c>
      <c r="E388" s="189" t="b">
        <v>0</v>
      </c>
      <c r="F388" s="189" t="s">
        <v>12</v>
      </c>
      <c r="G388" s="189" t="s">
        <v>10</v>
      </c>
      <c r="H388" s="46" t="str">
        <f>D388&amp;"|"&amp;E388&amp;"|"&amp;F388&amp;"|"&amp;G388</f>
        <v>Horticulture|FALSE|700to900|DrainedAr</v>
      </c>
      <c r="I388" s="132">
        <v>0.42156507037030877</v>
      </c>
      <c r="J388" s="50">
        <v>12.214023878715249</v>
      </c>
      <c r="K388" s="36" t="str">
        <f>D388&amp;"|"&amp;F388</f>
        <v>Horticulture|700to900</v>
      </c>
      <c r="L388" s="47"/>
      <c r="M388" s="132"/>
      <c r="N388" s="50"/>
      <c r="O388" s="37"/>
      <c r="P388" s="125"/>
    </row>
    <row r="389" spans="2:16">
      <c r="B389" s="135"/>
      <c r="C389" s="189" t="s">
        <v>241</v>
      </c>
      <c r="D389" s="189" t="s">
        <v>32</v>
      </c>
      <c r="E389" s="189" t="b">
        <v>1</v>
      </c>
      <c r="F389" s="189" t="s">
        <v>12</v>
      </c>
      <c r="G389" s="189" t="s">
        <v>10</v>
      </c>
      <c r="H389" s="46" t="str">
        <f>D389&amp;"|"&amp;E389&amp;"|"&amp;F389&amp;"|"&amp;G389</f>
        <v>Horticulture|TRUE|700to900|DrainedAr</v>
      </c>
      <c r="I389" s="132">
        <v>0.42156507037030877</v>
      </c>
      <c r="J389" s="50">
        <v>12.185846940386863</v>
      </c>
      <c r="K389" s="36" t="str">
        <f>D389&amp;"|"&amp;F389</f>
        <v>Horticulture|700to900</v>
      </c>
      <c r="L389" s="47"/>
      <c r="M389" s="132"/>
      <c r="N389" s="50"/>
      <c r="O389" s="37"/>
      <c r="P389" s="125"/>
    </row>
    <row r="390" spans="2:16">
      <c r="B390" s="135"/>
      <c r="C390" s="189" t="s">
        <v>241</v>
      </c>
      <c r="D390" s="189" t="s">
        <v>32</v>
      </c>
      <c r="E390" s="189" t="b">
        <v>0</v>
      </c>
      <c r="F390" s="189" t="s">
        <v>12</v>
      </c>
      <c r="G390" s="189" t="s">
        <v>11</v>
      </c>
      <c r="H390" s="46" t="str">
        <f>D390&amp;"|"&amp;E390&amp;"|"&amp;F390&amp;"|"&amp;G390</f>
        <v>Horticulture|FALSE|700to900|DrainedArGr</v>
      </c>
      <c r="I390" s="132">
        <v>0.58628186947718242</v>
      </c>
      <c r="J390" s="50">
        <v>10.951697040537912</v>
      </c>
      <c r="K390" s="36" t="str">
        <f>D390&amp;"|"&amp;F390</f>
        <v>Horticulture|700to900</v>
      </c>
      <c r="L390" s="47"/>
      <c r="M390" s="132"/>
      <c r="N390" s="50"/>
      <c r="O390" s="37"/>
      <c r="P390" s="125"/>
    </row>
    <row r="391" spans="2:16">
      <c r="B391" s="135"/>
      <c r="C391" s="189" t="s">
        <v>241</v>
      </c>
      <c r="D391" s="189" t="s">
        <v>32</v>
      </c>
      <c r="E391" s="189" t="b">
        <v>1</v>
      </c>
      <c r="F391" s="189" t="s">
        <v>12</v>
      </c>
      <c r="G391" s="189" t="s">
        <v>11</v>
      </c>
      <c r="H391" s="46" t="str">
        <f>D391&amp;"|"&amp;E391&amp;"|"&amp;F391&amp;"|"&amp;G391</f>
        <v>Horticulture|TRUE|700to900|DrainedArGr</v>
      </c>
      <c r="I391" s="132">
        <v>0.58628186947718242</v>
      </c>
      <c r="J391" s="50">
        <v>10.9291611980812</v>
      </c>
      <c r="K391" s="36" t="str">
        <f>D391&amp;"|"&amp;F391</f>
        <v>Horticulture|700to900</v>
      </c>
      <c r="L391" s="47"/>
      <c r="M391" s="132"/>
      <c r="N391" s="50"/>
      <c r="O391" s="37"/>
      <c r="P391" s="125"/>
    </row>
    <row r="392" spans="2:16">
      <c r="B392" s="135"/>
      <c r="C392" s="189" t="s">
        <v>241</v>
      </c>
      <c r="D392" s="189" t="s">
        <v>42</v>
      </c>
      <c r="E392" s="189" t="b">
        <v>0</v>
      </c>
      <c r="F392" s="189" t="s">
        <v>8</v>
      </c>
      <c r="G392" s="189" t="s">
        <v>9</v>
      </c>
      <c r="H392" s="46" t="str">
        <f>D392&amp;"|"&amp;E392&amp;"|"&amp;F392&amp;"|"&amp;G392</f>
        <v>Pig|FALSE|600to700|FreeDrain</v>
      </c>
      <c r="I392" s="132">
        <v>0.13757963419294489</v>
      </c>
      <c r="J392" s="50">
        <v>177.97162422190507</v>
      </c>
      <c r="K392" s="36" t="str">
        <f>D392&amp;"|"&amp;F392</f>
        <v>Pig|600to700</v>
      </c>
      <c r="L392" s="47"/>
      <c r="M392" s="132"/>
      <c r="N392" s="50"/>
      <c r="O392" s="37"/>
      <c r="P392" s="125"/>
    </row>
    <row r="393" spans="2:16">
      <c r="B393" s="135"/>
      <c r="C393" s="189" t="s">
        <v>241</v>
      </c>
      <c r="D393" s="189" t="s">
        <v>42</v>
      </c>
      <c r="E393" s="189" t="b">
        <v>1</v>
      </c>
      <c r="F393" s="189" t="s">
        <v>8</v>
      </c>
      <c r="G393" s="189" t="s">
        <v>9</v>
      </c>
      <c r="H393" s="46" t="str">
        <f>D393&amp;"|"&amp;E393&amp;"|"&amp;F393&amp;"|"&amp;G393</f>
        <v>Pig|TRUE|600to700|FreeDrain</v>
      </c>
      <c r="I393" s="132">
        <v>0.13111581029536148</v>
      </c>
      <c r="J393" s="50">
        <v>178.70670386174262</v>
      </c>
      <c r="K393" s="36" t="str">
        <f>D393&amp;"|"&amp;F393</f>
        <v>Pig|600to700</v>
      </c>
      <c r="L393" s="47"/>
      <c r="M393" s="132"/>
      <c r="N393" s="50"/>
      <c r="O393" s="37"/>
      <c r="P393" s="125"/>
    </row>
    <row r="394" spans="2:16">
      <c r="B394" s="135"/>
      <c r="C394" s="189" t="s">
        <v>241</v>
      </c>
      <c r="D394" s="189" t="s">
        <v>42</v>
      </c>
      <c r="E394" s="189" t="b">
        <v>0</v>
      </c>
      <c r="F394" s="189" t="s">
        <v>8</v>
      </c>
      <c r="G394" s="189" t="s">
        <v>10</v>
      </c>
      <c r="H394" s="46" t="str">
        <f>D394&amp;"|"&amp;E394&amp;"|"&amp;F394&amp;"|"&amp;G394</f>
        <v>Pig|FALSE|600to700|DrainedAr</v>
      </c>
      <c r="I394" s="132">
        <v>0.60197730823650208</v>
      </c>
      <c r="J394" s="50">
        <v>117.27257320647058</v>
      </c>
      <c r="K394" s="36" t="str">
        <f>D394&amp;"|"&amp;F394</f>
        <v>Pig|600to700</v>
      </c>
      <c r="L394" s="47"/>
      <c r="M394" s="132"/>
      <c r="N394" s="50"/>
      <c r="O394" s="37"/>
      <c r="P394" s="125"/>
    </row>
    <row r="395" spans="2:16">
      <c r="B395" s="135"/>
      <c r="C395" s="189" t="s">
        <v>241</v>
      </c>
      <c r="D395" s="189" t="s">
        <v>42</v>
      </c>
      <c r="E395" s="189" t="b">
        <v>1</v>
      </c>
      <c r="F395" s="189" t="s">
        <v>8</v>
      </c>
      <c r="G395" s="189" t="s">
        <v>10</v>
      </c>
      <c r="H395" s="46" t="str">
        <f>D395&amp;"|"&amp;E395&amp;"|"&amp;F395&amp;"|"&amp;G395</f>
        <v>Pig|TRUE|600to700|DrainedAr</v>
      </c>
      <c r="I395" s="132">
        <v>0.54526256938935225</v>
      </c>
      <c r="J395" s="50">
        <v>112.87763533987254</v>
      </c>
      <c r="K395" s="36" t="str">
        <f>D395&amp;"|"&amp;F395</f>
        <v>Pig|600to700</v>
      </c>
      <c r="L395" s="47"/>
      <c r="M395" s="132"/>
      <c r="N395" s="50"/>
      <c r="O395" s="37"/>
      <c r="P395" s="125"/>
    </row>
    <row r="396" spans="2:16">
      <c r="B396" s="135"/>
      <c r="C396" s="189" t="s">
        <v>241</v>
      </c>
      <c r="D396" s="189" t="s">
        <v>42</v>
      </c>
      <c r="E396" s="189" t="b">
        <v>0</v>
      </c>
      <c r="F396" s="189" t="s">
        <v>8</v>
      </c>
      <c r="G396" s="189" t="s">
        <v>11</v>
      </c>
      <c r="H396" s="46" t="str">
        <f>D396&amp;"|"&amp;E396&amp;"|"&amp;F396&amp;"|"&amp;G396</f>
        <v>Pig|FALSE|600to700|DrainedArGr</v>
      </c>
      <c r="I396" s="132">
        <v>0.9599279793483213</v>
      </c>
      <c r="J396" s="50">
        <v>112.62276749232254</v>
      </c>
      <c r="K396" s="36" t="str">
        <f>D396&amp;"|"&amp;F396</f>
        <v>Pig|600to700</v>
      </c>
      <c r="L396" s="47"/>
      <c r="M396" s="132"/>
      <c r="N396" s="50"/>
      <c r="O396" s="37"/>
      <c r="P396" s="125"/>
    </row>
    <row r="397" spans="2:16">
      <c r="B397" s="135"/>
      <c r="C397" s="189" t="s">
        <v>241</v>
      </c>
      <c r="D397" s="189" t="s">
        <v>42</v>
      </c>
      <c r="E397" s="189" t="b">
        <v>1</v>
      </c>
      <c r="F397" s="189" t="s">
        <v>8</v>
      </c>
      <c r="G397" s="189" t="s">
        <v>11</v>
      </c>
      <c r="H397" s="46" t="str">
        <f>D397&amp;"|"&amp;E397&amp;"|"&amp;F397&amp;"|"&amp;G397</f>
        <v>Pig|TRUE|600to700|DrainedArGr</v>
      </c>
      <c r="I397" s="132">
        <v>0.87744598371564519</v>
      </c>
      <c r="J397" s="50">
        <v>105.95463066397717</v>
      </c>
      <c r="K397" s="36" t="str">
        <f>D397&amp;"|"&amp;F397</f>
        <v>Pig|600to700</v>
      </c>
      <c r="L397" s="47"/>
      <c r="M397" s="132"/>
      <c r="N397" s="50"/>
      <c r="O397" s="37"/>
      <c r="P397" s="125"/>
    </row>
    <row r="398" spans="2:16">
      <c r="B398" s="135"/>
      <c r="C398" s="189" t="s">
        <v>241</v>
      </c>
      <c r="D398" s="189" t="s">
        <v>42</v>
      </c>
      <c r="E398" s="189" t="b">
        <v>1</v>
      </c>
      <c r="F398" s="189" t="s">
        <v>12</v>
      </c>
      <c r="G398" s="189" t="s">
        <v>9</v>
      </c>
      <c r="H398" s="46" t="str">
        <f>D398&amp;"|"&amp;E398&amp;"|"&amp;F398&amp;"|"&amp;G398</f>
        <v>Pig|TRUE|700to900|FreeDrain</v>
      </c>
      <c r="I398" s="132">
        <v>0.32719909336341685</v>
      </c>
      <c r="J398" s="50">
        <v>209.8334351295172</v>
      </c>
      <c r="K398" s="36" t="str">
        <f>D398&amp;"|"&amp;F398</f>
        <v>Pig|700to900</v>
      </c>
      <c r="L398" s="47"/>
      <c r="M398" s="132"/>
      <c r="N398" s="50"/>
      <c r="O398" s="37"/>
      <c r="P398" s="125"/>
    </row>
    <row r="399" spans="2:16">
      <c r="B399" s="135"/>
      <c r="C399" s="189" t="s">
        <v>241</v>
      </c>
      <c r="D399" s="189" t="s">
        <v>42</v>
      </c>
      <c r="E399" s="189" t="b">
        <v>0</v>
      </c>
      <c r="F399" s="189" t="s">
        <v>12</v>
      </c>
      <c r="G399" s="189" t="s">
        <v>10</v>
      </c>
      <c r="H399" s="46" t="str">
        <f>D399&amp;"|"&amp;E399&amp;"|"&amp;F399&amp;"|"&amp;G399</f>
        <v>Pig|FALSE|700to900|DrainedAr</v>
      </c>
      <c r="I399" s="132">
        <v>1.166323711495763</v>
      </c>
      <c r="J399" s="50">
        <v>144.43586551358118</v>
      </c>
      <c r="K399" s="36" t="str">
        <f>D399&amp;"|"&amp;F399</f>
        <v>Pig|700to900</v>
      </c>
      <c r="L399" s="47"/>
      <c r="M399" s="132"/>
      <c r="N399" s="50"/>
      <c r="O399" s="37"/>
      <c r="P399" s="125"/>
    </row>
    <row r="400" spans="2:16">
      <c r="B400" s="135"/>
      <c r="C400" s="189" t="s">
        <v>241</v>
      </c>
      <c r="D400" s="189" t="s">
        <v>42</v>
      </c>
      <c r="E400" s="189" t="b">
        <v>1</v>
      </c>
      <c r="F400" s="189" t="s">
        <v>12</v>
      </c>
      <c r="G400" s="189" t="s">
        <v>10</v>
      </c>
      <c r="H400" s="46" t="str">
        <f>D400&amp;"|"&amp;E400&amp;"|"&amp;F400&amp;"|"&amp;G400</f>
        <v>Pig|TRUE|700to900|DrainedAr</v>
      </c>
      <c r="I400" s="132">
        <v>1.0984822115226254</v>
      </c>
      <c r="J400" s="50">
        <v>138.7715752120603</v>
      </c>
      <c r="K400" s="36" t="str">
        <f>D400&amp;"|"&amp;F400</f>
        <v>Pig|700to900</v>
      </c>
      <c r="L400" s="47"/>
      <c r="M400" s="132"/>
      <c r="N400" s="50"/>
      <c r="O400" s="37"/>
      <c r="P400" s="125"/>
    </row>
    <row r="401" spans="2:16">
      <c r="B401" s="135"/>
      <c r="C401" s="189" t="s">
        <v>241</v>
      </c>
      <c r="D401" s="189" t="s">
        <v>42</v>
      </c>
      <c r="E401" s="189" t="b">
        <v>0</v>
      </c>
      <c r="F401" s="189" t="s">
        <v>12</v>
      </c>
      <c r="G401" s="189" t="s">
        <v>11</v>
      </c>
      <c r="H401" s="46" t="str">
        <f>D401&amp;"|"&amp;E401&amp;"|"&amp;F401&amp;"|"&amp;G401</f>
        <v>Pig|FALSE|700to900|DrainedArGr</v>
      </c>
      <c r="I401" s="132">
        <v>1.5941602763531204</v>
      </c>
      <c r="J401" s="50">
        <v>122.6882492947645</v>
      </c>
      <c r="K401" s="36" t="str">
        <f>D401&amp;"|"&amp;F401</f>
        <v>Pig|700to900</v>
      </c>
      <c r="L401" s="47"/>
      <c r="M401" s="132"/>
      <c r="N401" s="50"/>
      <c r="O401" s="37"/>
      <c r="P401" s="125"/>
    </row>
    <row r="402" spans="2:16">
      <c r="B402" s="135"/>
      <c r="C402" s="189" t="s">
        <v>241</v>
      </c>
      <c r="D402" s="189" t="s">
        <v>42</v>
      </c>
      <c r="E402" s="189" t="b">
        <v>1</v>
      </c>
      <c r="F402" s="189" t="s">
        <v>12</v>
      </c>
      <c r="G402" s="189" t="s">
        <v>11</v>
      </c>
      <c r="H402" s="46" t="str">
        <f>D402&amp;"|"&amp;E402&amp;"|"&amp;F402&amp;"|"&amp;G402</f>
        <v>Pig|TRUE|700to900|DrainedArGr</v>
      </c>
      <c r="I402" s="132">
        <v>1.4977341877169454</v>
      </c>
      <c r="J402" s="50">
        <v>114.00811805740508</v>
      </c>
      <c r="K402" s="36" t="str">
        <f>D402&amp;"|"&amp;F402</f>
        <v>Pig|700to900</v>
      </c>
      <c r="L402" s="47"/>
      <c r="M402" s="132"/>
      <c r="N402" s="50"/>
      <c r="O402" s="37"/>
      <c r="P402" s="125"/>
    </row>
    <row r="403" spans="2:16">
      <c r="B403" s="135"/>
      <c r="C403" s="189" t="s">
        <v>241</v>
      </c>
      <c r="D403" s="189" t="s">
        <v>47</v>
      </c>
      <c r="E403" s="189" t="b">
        <v>0</v>
      </c>
      <c r="F403" s="189" t="s">
        <v>8</v>
      </c>
      <c r="G403" s="189" t="s">
        <v>9</v>
      </c>
      <c r="H403" s="46" t="str">
        <f>D403&amp;"|"&amp;E403&amp;"|"&amp;F403&amp;"|"&amp;G403</f>
        <v>Poultry|FALSE|600to700|FreeDrain</v>
      </c>
      <c r="I403" s="132">
        <v>0.16168839245013861</v>
      </c>
      <c r="J403" s="50">
        <v>224.45259200664003</v>
      </c>
      <c r="K403" s="36" t="str">
        <f>D403&amp;"|"&amp;F403</f>
        <v>Poultry|600to700</v>
      </c>
      <c r="L403" s="47"/>
      <c r="M403" s="132"/>
      <c r="N403" s="50"/>
      <c r="O403" s="37"/>
      <c r="P403" s="125"/>
    </row>
    <row r="404" spans="2:16">
      <c r="B404" s="135"/>
      <c r="C404" s="189" t="s">
        <v>241</v>
      </c>
      <c r="D404" s="189" t="s">
        <v>47</v>
      </c>
      <c r="E404" s="189" t="b">
        <v>1</v>
      </c>
      <c r="F404" s="189" t="s">
        <v>8</v>
      </c>
      <c r="G404" s="189" t="s">
        <v>9</v>
      </c>
      <c r="H404" s="46" t="str">
        <f>D404&amp;"|"&amp;E404&amp;"|"&amp;F404&amp;"|"&amp;G404</f>
        <v>Poultry|TRUE|600to700|FreeDrain</v>
      </c>
      <c r="I404" s="132">
        <v>0.15659616758072631</v>
      </c>
      <c r="J404" s="50">
        <v>225.62792394183521</v>
      </c>
      <c r="K404" s="36" t="str">
        <f>D404&amp;"|"&amp;F404</f>
        <v>Poultry|600to700</v>
      </c>
      <c r="L404" s="47"/>
      <c r="M404" s="132"/>
      <c r="N404" s="50"/>
      <c r="O404" s="37"/>
      <c r="P404" s="125"/>
    </row>
    <row r="405" spans="2:16">
      <c r="B405" s="135"/>
      <c r="C405" s="189" t="s">
        <v>241</v>
      </c>
      <c r="D405" s="189" t="s">
        <v>47</v>
      </c>
      <c r="E405" s="189" t="b">
        <v>0</v>
      </c>
      <c r="F405" s="189" t="s">
        <v>8</v>
      </c>
      <c r="G405" s="189" t="s">
        <v>10</v>
      </c>
      <c r="H405" s="46" t="str">
        <f>D405&amp;"|"&amp;E405&amp;"|"&amp;F405&amp;"|"&amp;G405</f>
        <v>Poultry|FALSE|600to700|DrainedAr</v>
      </c>
      <c r="I405" s="132">
        <v>0.39944233759569264</v>
      </c>
      <c r="J405" s="50">
        <v>145.44062855246011</v>
      </c>
      <c r="K405" s="36" t="str">
        <f>D405&amp;"|"&amp;F405</f>
        <v>Poultry|600to700</v>
      </c>
      <c r="L405" s="47"/>
      <c r="M405" s="132"/>
      <c r="N405" s="50"/>
      <c r="O405" s="37"/>
      <c r="P405" s="125"/>
    </row>
    <row r="406" spans="2:16">
      <c r="B406" s="135"/>
      <c r="C406" s="189" t="s">
        <v>241</v>
      </c>
      <c r="D406" s="189" t="s">
        <v>47</v>
      </c>
      <c r="E406" s="189" t="b">
        <v>1</v>
      </c>
      <c r="F406" s="189" t="s">
        <v>8</v>
      </c>
      <c r="G406" s="189" t="s">
        <v>10</v>
      </c>
      <c r="H406" s="46" t="str">
        <f>D406&amp;"|"&amp;E406&amp;"|"&amp;F406&amp;"|"&amp;G406</f>
        <v>Poultry|TRUE|600to700|DrainedAr</v>
      </c>
      <c r="I406" s="132">
        <v>0.37019858261709</v>
      </c>
      <c r="J406" s="50">
        <v>139.69533696529135</v>
      </c>
      <c r="K406" s="36" t="str">
        <f>D406&amp;"|"&amp;F406</f>
        <v>Poultry|600to700</v>
      </c>
      <c r="L406" s="47"/>
      <c r="M406" s="132"/>
      <c r="N406" s="50"/>
      <c r="O406" s="37"/>
      <c r="P406" s="125"/>
    </row>
    <row r="407" spans="2:16">
      <c r="B407" s="135"/>
      <c r="C407" s="189" t="s">
        <v>241</v>
      </c>
      <c r="D407" s="189" t="s">
        <v>47</v>
      </c>
      <c r="E407" s="189" t="b">
        <v>0</v>
      </c>
      <c r="F407" s="189" t="s">
        <v>8</v>
      </c>
      <c r="G407" s="189" t="s">
        <v>11</v>
      </c>
      <c r="H407" s="46" t="str">
        <f>D407&amp;"|"&amp;E407&amp;"|"&amp;F407&amp;"|"&amp;G407</f>
        <v>Poultry|FALSE|600to700|DrainedArGr</v>
      </c>
      <c r="I407" s="132">
        <v>0.693611236773032</v>
      </c>
      <c r="J407" s="50">
        <v>136.14276182938292</v>
      </c>
      <c r="K407" s="36" t="str">
        <f>D407&amp;"|"&amp;F407</f>
        <v>Poultry|600to700</v>
      </c>
      <c r="L407" s="47"/>
      <c r="M407" s="132"/>
      <c r="N407" s="50"/>
      <c r="O407" s="37"/>
      <c r="P407" s="125"/>
    </row>
    <row r="408" spans="2:16">
      <c r="B408" s="135"/>
      <c r="C408" s="189" t="s">
        <v>241</v>
      </c>
      <c r="D408" s="189" t="s">
        <v>47</v>
      </c>
      <c r="E408" s="189" t="b">
        <v>1</v>
      </c>
      <c r="F408" s="189" t="s">
        <v>8</v>
      </c>
      <c r="G408" s="189" t="s">
        <v>11</v>
      </c>
      <c r="H408" s="46" t="str">
        <f>D408&amp;"|"&amp;E408&amp;"|"&amp;F408&amp;"|"&amp;G408</f>
        <v>Poultry|TRUE|600to700|DrainedArGr</v>
      </c>
      <c r="I408" s="132">
        <v>0.65348913336300707</v>
      </c>
      <c r="J408" s="50">
        <v>127.55662582717721</v>
      </c>
      <c r="K408" s="36" t="str">
        <f>D408&amp;"|"&amp;F408</f>
        <v>Poultry|600to700</v>
      </c>
      <c r="L408" s="47"/>
      <c r="M408" s="132"/>
      <c r="N408" s="50"/>
      <c r="O408" s="37"/>
      <c r="P408" s="125"/>
    </row>
    <row r="409" spans="2:16">
      <c r="B409" s="135"/>
      <c r="C409" s="189" t="s">
        <v>241</v>
      </c>
      <c r="D409" s="189" t="s">
        <v>47</v>
      </c>
      <c r="E409" s="189" t="b">
        <v>1</v>
      </c>
      <c r="F409" s="189" t="s">
        <v>12</v>
      </c>
      <c r="G409" s="189" t="s">
        <v>9</v>
      </c>
      <c r="H409" s="46" t="str">
        <f>D409&amp;"|"&amp;E409&amp;"|"&amp;F409&amp;"|"&amp;G409</f>
        <v>Poultry|TRUE|700to900|FreeDrain</v>
      </c>
      <c r="I409" s="132">
        <v>0.33728893256172032</v>
      </c>
      <c r="J409" s="50">
        <v>265.27656929307614</v>
      </c>
      <c r="K409" s="36" t="str">
        <f>D409&amp;"|"&amp;F409</f>
        <v>Poultry|700to900</v>
      </c>
      <c r="L409" s="47"/>
      <c r="M409" s="132"/>
      <c r="N409" s="50"/>
      <c r="O409" s="37"/>
      <c r="P409" s="125"/>
    </row>
    <row r="410" spans="2:16">
      <c r="B410" s="135"/>
      <c r="C410" s="189" t="s">
        <v>241</v>
      </c>
      <c r="D410" s="189" t="s">
        <v>47</v>
      </c>
      <c r="E410" s="189" t="b">
        <v>0</v>
      </c>
      <c r="F410" s="189" t="s">
        <v>12</v>
      </c>
      <c r="G410" s="189" t="s">
        <v>10</v>
      </c>
      <c r="H410" s="46" t="str">
        <f>D410&amp;"|"&amp;E410&amp;"|"&amp;F410&amp;"|"&amp;G410</f>
        <v>Poultry|FALSE|700to900|DrainedAr</v>
      </c>
      <c r="I410" s="132">
        <v>0.78184252059210557</v>
      </c>
      <c r="J410" s="50">
        <v>180.12284322168583</v>
      </c>
      <c r="K410" s="36" t="str">
        <f>D410&amp;"|"&amp;F410</f>
        <v>Poultry|700to900</v>
      </c>
      <c r="L410" s="47"/>
      <c r="M410" s="132"/>
      <c r="N410" s="50"/>
      <c r="O410" s="37"/>
      <c r="P410" s="125"/>
    </row>
    <row r="411" spans="2:16">
      <c r="B411" s="135"/>
      <c r="C411" s="189" t="s">
        <v>241</v>
      </c>
      <c r="D411" s="189" t="s">
        <v>47</v>
      </c>
      <c r="E411" s="189" t="b">
        <v>1</v>
      </c>
      <c r="F411" s="189" t="s">
        <v>12</v>
      </c>
      <c r="G411" s="189" t="s">
        <v>10</v>
      </c>
      <c r="H411" s="46" t="str">
        <f>D411&amp;"|"&amp;E411&amp;"|"&amp;F411&amp;"|"&amp;G411</f>
        <v>Poultry|TRUE|700to900|DrainedAr</v>
      </c>
      <c r="I411" s="132">
        <v>0.7391604029378771</v>
      </c>
      <c r="J411" s="50">
        <v>172.73924318624947</v>
      </c>
      <c r="K411" s="36" t="str">
        <f>D411&amp;"|"&amp;F411</f>
        <v>Poultry|700to900</v>
      </c>
      <c r="L411" s="47"/>
      <c r="M411" s="132"/>
      <c r="N411" s="50"/>
      <c r="O411" s="37"/>
      <c r="P411" s="125"/>
    </row>
    <row r="412" spans="2:16">
      <c r="B412" s="135"/>
      <c r="C412" s="189" t="s">
        <v>241</v>
      </c>
      <c r="D412" s="189" t="s">
        <v>47</v>
      </c>
      <c r="E412" s="189" t="b">
        <v>0</v>
      </c>
      <c r="F412" s="189" t="s">
        <v>12</v>
      </c>
      <c r="G412" s="189" t="s">
        <v>11</v>
      </c>
      <c r="H412" s="46" t="str">
        <f>D412&amp;"|"&amp;E412&amp;"|"&amp;F412&amp;"|"&amp;G412</f>
        <v>Poultry|FALSE|700to900|DrainedArGr</v>
      </c>
      <c r="I412" s="132">
        <v>1.1623753911760051</v>
      </c>
      <c r="J412" s="50">
        <v>148.26723819862559</v>
      </c>
      <c r="K412" s="36" t="str">
        <f>D412&amp;"|"&amp;F412</f>
        <v>Poultry|700to900</v>
      </c>
      <c r="L412" s="47"/>
      <c r="M412" s="132"/>
      <c r="N412" s="50"/>
      <c r="O412" s="37"/>
      <c r="P412" s="125"/>
    </row>
    <row r="413" spans="2:16">
      <c r="B413" s="135"/>
      <c r="C413" s="189" t="s">
        <v>241</v>
      </c>
      <c r="D413" s="189" t="s">
        <v>47</v>
      </c>
      <c r="E413" s="189" t="b">
        <v>1</v>
      </c>
      <c r="F413" s="189" t="s">
        <v>12</v>
      </c>
      <c r="G413" s="189" t="s">
        <v>11</v>
      </c>
      <c r="H413" s="46" t="str">
        <f>D413&amp;"|"&amp;E413&amp;"|"&amp;F413&amp;"|"&amp;G413</f>
        <v>Poultry|TRUE|700to900|DrainedArGr</v>
      </c>
      <c r="I413" s="132">
        <v>1.1043751259549854</v>
      </c>
      <c r="J413" s="50">
        <v>137.17426858507116</v>
      </c>
      <c r="K413" s="36" t="str">
        <f>D413&amp;"|"&amp;F413</f>
        <v>Poultry|700to900</v>
      </c>
      <c r="L413" s="47"/>
      <c r="M413" s="132"/>
      <c r="N413" s="50"/>
      <c r="O413" s="37"/>
      <c r="P413" s="125"/>
    </row>
    <row r="414" spans="2:16">
      <c r="B414" s="135"/>
      <c r="C414" s="189" t="s">
        <v>241</v>
      </c>
      <c r="D414" s="189" t="s">
        <v>55</v>
      </c>
      <c r="E414" s="189" t="b">
        <v>1</v>
      </c>
      <c r="F414" s="189" t="s">
        <v>8</v>
      </c>
      <c r="G414" s="189" t="s">
        <v>9</v>
      </c>
      <c r="H414" s="46" t="str">
        <f>D414&amp;"|"&amp;E414&amp;"|"&amp;F414&amp;"|"&amp;G414</f>
        <v>Dairy|TRUE|600to700|FreeDrain</v>
      </c>
      <c r="I414" s="132">
        <v>0.26463185531866273</v>
      </c>
      <c r="J414" s="50">
        <v>67.914028425516733</v>
      </c>
      <c r="K414" s="36" t="str">
        <f>D414&amp;"|"&amp;F414</f>
        <v>Dairy|600to700</v>
      </c>
      <c r="L414" s="47"/>
      <c r="M414" s="132"/>
      <c r="N414" s="50"/>
      <c r="O414" s="37"/>
      <c r="P414" s="125"/>
    </row>
    <row r="415" spans="2:16">
      <c r="B415" s="135"/>
      <c r="C415" s="189" t="s">
        <v>241</v>
      </c>
      <c r="D415" s="189" t="s">
        <v>55</v>
      </c>
      <c r="E415" s="189" t="b">
        <v>0</v>
      </c>
      <c r="F415" s="189" t="s">
        <v>8</v>
      </c>
      <c r="G415" s="189" t="s">
        <v>10</v>
      </c>
      <c r="H415" s="46" t="str">
        <f>D415&amp;"|"&amp;E415&amp;"|"&amp;F415&amp;"|"&amp;G415</f>
        <v>Dairy|FALSE|600to700|DrainedAr</v>
      </c>
      <c r="I415" s="132">
        <v>0.53661929658455831</v>
      </c>
      <c r="J415" s="50">
        <v>46.100973538275682</v>
      </c>
      <c r="K415" s="36" t="str">
        <f>D415&amp;"|"&amp;F415</f>
        <v>Dairy|600to700</v>
      </c>
      <c r="L415" s="47"/>
      <c r="M415" s="132"/>
      <c r="N415" s="50"/>
      <c r="O415" s="37"/>
      <c r="P415" s="125"/>
    </row>
    <row r="416" spans="2:16">
      <c r="B416" s="135"/>
      <c r="C416" s="189" t="s">
        <v>241</v>
      </c>
      <c r="D416" s="189" t="s">
        <v>55</v>
      </c>
      <c r="E416" s="189" t="b">
        <v>1</v>
      </c>
      <c r="F416" s="189" t="s">
        <v>8</v>
      </c>
      <c r="G416" s="189" t="s">
        <v>10</v>
      </c>
      <c r="H416" s="46" t="str">
        <f>D416&amp;"|"&amp;E416&amp;"|"&amp;F416&amp;"|"&amp;G416</f>
        <v>Dairy|TRUE|600to700|DrainedAr</v>
      </c>
      <c r="I416" s="132">
        <v>0.53112000301053064</v>
      </c>
      <c r="J416" s="50">
        <v>45.612105751434768</v>
      </c>
      <c r="K416" s="36" t="str">
        <f>D416&amp;"|"&amp;F416</f>
        <v>Dairy|600to700</v>
      </c>
      <c r="L416" s="47"/>
      <c r="M416" s="132"/>
      <c r="N416" s="50"/>
      <c r="O416" s="37"/>
      <c r="P416" s="125"/>
    </row>
    <row r="417" spans="2:16">
      <c r="B417" s="135"/>
      <c r="C417" s="189" t="s">
        <v>241</v>
      </c>
      <c r="D417" s="189" t="s">
        <v>55</v>
      </c>
      <c r="E417" s="189" t="b">
        <v>0</v>
      </c>
      <c r="F417" s="189" t="s">
        <v>8</v>
      </c>
      <c r="G417" s="189" t="s">
        <v>11</v>
      </c>
      <c r="H417" s="46" t="str">
        <f>D417&amp;"|"&amp;E417&amp;"|"&amp;F417&amp;"|"&amp;G417</f>
        <v>Dairy|FALSE|600to700|DrainedArGr</v>
      </c>
      <c r="I417" s="132">
        <v>1.7129185856328488</v>
      </c>
      <c r="J417" s="50">
        <v>36.7895944096094</v>
      </c>
      <c r="K417" s="36" t="str">
        <f>D417&amp;"|"&amp;F417</f>
        <v>Dairy|600to700</v>
      </c>
      <c r="L417" s="47"/>
      <c r="M417" s="132"/>
      <c r="N417" s="50"/>
      <c r="O417" s="37"/>
      <c r="P417" s="125"/>
    </row>
    <row r="418" spans="2:16">
      <c r="B418" s="135"/>
      <c r="C418" s="189" t="s">
        <v>241</v>
      </c>
      <c r="D418" s="189" t="s">
        <v>55</v>
      </c>
      <c r="E418" s="189" t="b">
        <v>1</v>
      </c>
      <c r="F418" s="189" t="s">
        <v>8</v>
      </c>
      <c r="G418" s="189" t="s">
        <v>11</v>
      </c>
      <c r="H418" s="46" t="str">
        <f>D418&amp;"|"&amp;E418&amp;"|"&amp;F418&amp;"|"&amp;G418</f>
        <v>Dairy|TRUE|600to700|DrainedArGr</v>
      </c>
      <c r="I418" s="132">
        <v>1.6613001212764889</v>
      </c>
      <c r="J418" s="50">
        <v>36.091274312382559</v>
      </c>
      <c r="K418" s="36" t="str">
        <f>D418&amp;"|"&amp;F418</f>
        <v>Dairy|600to700</v>
      </c>
      <c r="L418" s="47"/>
      <c r="M418" s="132"/>
      <c r="N418" s="50"/>
      <c r="O418" s="37"/>
      <c r="P418" s="125"/>
    </row>
    <row r="419" spans="2:16">
      <c r="B419" s="135"/>
      <c r="C419" s="189" t="s">
        <v>241</v>
      </c>
      <c r="D419" s="189" t="s">
        <v>55</v>
      </c>
      <c r="E419" s="189" t="b">
        <v>1</v>
      </c>
      <c r="F419" s="189" t="s">
        <v>12</v>
      </c>
      <c r="G419" s="189" t="s">
        <v>11</v>
      </c>
      <c r="H419" s="46" t="str">
        <f>D419&amp;"|"&amp;E419&amp;"|"&amp;F419&amp;"|"&amp;G419</f>
        <v>Dairy|TRUE|700to900|DrainedArGr</v>
      </c>
      <c r="I419" s="132">
        <v>2.4839324101613851</v>
      </c>
      <c r="J419" s="50">
        <v>42.68256924007467</v>
      </c>
      <c r="K419" s="36" t="str">
        <f>D419&amp;"|"&amp;F419</f>
        <v>Dairy|700to900</v>
      </c>
      <c r="L419" s="47"/>
      <c r="M419" s="132"/>
      <c r="N419" s="50"/>
      <c r="O419" s="37"/>
      <c r="P419" s="125"/>
    </row>
    <row r="420" spans="2:16">
      <c r="B420" s="135"/>
      <c r="C420" s="189" t="s">
        <v>241</v>
      </c>
      <c r="D420" s="189" t="s">
        <v>58</v>
      </c>
      <c r="E420" s="189" t="b">
        <v>0</v>
      </c>
      <c r="F420" s="189" t="s">
        <v>8</v>
      </c>
      <c r="G420" s="189" t="s">
        <v>9</v>
      </c>
      <c r="H420" s="46" t="str">
        <f>D420&amp;"|"&amp;E420&amp;"|"&amp;F420&amp;"|"&amp;G420</f>
        <v>Lowland|FALSE|600to700|FreeDrain</v>
      </c>
      <c r="I420" s="132">
        <v>0.047161391105900896</v>
      </c>
      <c r="J420" s="50">
        <v>8.3141087796331874</v>
      </c>
      <c r="K420" s="36" t="str">
        <f>D420&amp;"|"&amp;F420</f>
        <v>Lowland|600to700</v>
      </c>
      <c r="L420" s="47"/>
      <c r="M420" s="132"/>
      <c r="N420" s="50"/>
      <c r="O420" s="37"/>
      <c r="P420" s="125"/>
    </row>
    <row r="421" spans="2:16">
      <c r="B421" s="135"/>
      <c r="C421" s="189" t="s">
        <v>241</v>
      </c>
      <c r="D421" s="189" t="s">
        <v>58</v>
      </c>
      <c r="E421" s="189" t="b">
        <v>1</v>
      </c>
      <c r="F421" s="189" t="s">
        <v>8</v>
      </c>
      <c r="G421" s="189" t="s">
        <v>9</v>
      </c>
      <c r="H421" s="46" t="str">
        <f>D421&amp;"|"&amp;E421&amp;"|"&amp;F421&amp;"|"&amp;G421</f>
        <v>Lowland|TRUE|600to700|FreeDrain</v>
      </c>
      <c r="I421" s="132">
        <v>0.04716127320743746</v>
      </c>
      <c r="J421" s="50">
        <v>8.252088028908787</v>
      </c>
      <c r="K421" s="36" t="str">
        <f>D421&amp;"|"&amp;F421</f>
        <v>Lowland|600to700</v>
      </c>
      <c r="L421" s="47"/>
      <c r="M421" s="132"/>
      <c r="N421" s="50"/>
      <c r="O421" s="37"/>
      <c r="P421" s="125"/>
    </row>
    <row r="422" spans="2:16">
      <c r="B422" s="135"/>
      <c r="C422" s="189" t="s">
        <v>241</v>
      </c>
      <c r="D422" s="189" t="s">
        <v>58</v>
      </c>
      <c r="E422" s="189" t="b">
        <v>0</v>
      </c>
      <c r="F422" s="189" t="s">
        <v>8</v>
      </c>
      <c r="G422" s="189" t="s">
        <v>10</v>
      </c>
      <c r="H422" s="46" t="str">
        <f>D422&amp;"|"&amp;E422&amp;"|"&amp;F422&amp;"|"&amp;G422</f>
        <v>Lowland|FALSE|600to700|DrainedAr</v>
      </c>
      <c r="I422" s="132">
        <v>0.073642790082301721</v>
      </c>
      <c r="J422" s="50">
        <v>5.671315782078012</v>
      </c>
      <c r="K422" s="36" t="str">
        <f>D422&amp;"|"&amp;F422</f>
        <v>Lowland|600to700</v>
      </c>
      <c r="L422" s="47"/>
      <c r="M422" s="132"/>
      <c r="N422" s="50"/>
      <c r="O422" s="37"/>
      <c r="P422" s="125"/>
    </row>
    <row r="423" spans="2:16">
      <c r="B423" s="135"/>
      <c r="C423" s="189" t="s">
        <v>241</v>
      </c>
      <c r="D423" s="189" t="s">
        <v>58</v>
      </c>
      <c r="E423" s="189" t="b">
        <v>1</v>
      </c>
      <c r="F423" s="189" t="s">
        <v>8</v>
      </c>
      <c r="G423" s="189" t="s">
        <v>10</v>
      </c>
      <c r="H423" s="46" t="str">
        <f>D423&amp;"|"&amp;E423&amp;"|"&amp;F423&amp;"|"&amp;G423</f>
        <v>Lowland|TRUE|600to700|DrainedAr</v>
      </c>
      <c r="I423" s="132">
        <v>0.07364261226503524</v>
      </c>
      <c r="J423" s="50">
        <v>5.6312331618029043</v>
      </c>
      <c r="K423" s="36" t="str">
        <f>D423&amp;"|"&amp;F423</f>
        <v>Lowland|600to700</v>
      </c>
      <c r="L423" s="47"/>
      <c r="M423" s="132"/>
      <c r="N423" s="50"/>
      <c r="O423" s="37"/>
      <c r="P423" s="125"/>
    </row>
    <row r="424" spans="2:16">
      <c r="B424" s="135"/>
      <c r="C424" s="189" t="s">
        <v>241</v>
      </c>
      <c r="D424" s="189" t="s">
        <v>58</v>
      </c>
      <c r="E424" s="189" t="b">
        <v>0</v>
      </c>
      <c r="F424" s="189" t="s">
        <v>8</v>
      </c>
      <c r="G424" s="189" t="s">
        <v>11</v>
      </c>
      <c r="H424" s="46" t="str">
        <f>D424&amp;"|"&amp;E424&amp;"|"&amp;F424&amp;"|"&amp;G424</f>
        <v>Lowland|FALSE|600to700|DrainedArGr</v>
      </c>
      <c r="I424" s="132">
        <v>0.25404200530948007</v>
      </c>
      <c r="J424" s="50">
        <v>4.899788455695453</v>
      </c>
      <c r="K424" s="36" t="str">
        <f>D424&amp;"|"&amp;F424</f>
        <v>Lowland|600to700</v>
      </c>
      <c r="L424" s="47"/>
      <c r="M424" s="132"/>
      <c r="N424" s="50"/>
      <c r="O424" s="37"/>
      <c r="P424" s="125"/>
    </row>
    <row r="425" spans="2:16">
      <c r="B425" s="135"/>
      <c r="C425" s="189" t="s">
        <v>241</v>
      </c>
      <c r="D425" s="189" t="s">
        <v>58</v>
      </c>
      <c r="E425" s="189" t="b">
        <v>1</v>
      </c>
      <c r="F425" s="189" t="s">
        <v>8</v>
      </c>
      <c r="G425" s="189" t="s">
        <v>11</v>
      </c>
      <c r="H425" s="46" t="str">
        <f>D425&amp;"|"&amp;E425&amp;"|"&amp;F425&amp;"|"&amp;G425</f>
        <v>Lowland|TRUE|600to700|DrainedArGr</v>
      </c>
      <c r="I425" s="132">
        <v>0.25402535797986248</v>
      </c>
      <c r="J425" s="50">
        <v>4.8858293205657155</v>
      </c>
      <c r="K425" s="36" t="str">
        <f>D425&amp;"|"&amp;F425</f>
        <v>Lowland|600to700</v>
      </c>
      <c r="L425" s="47"/>
      <c r="M425" s="132"/>
      <c r="N425" s="50"/>
      <c r="O425" s="37"/>
      <c r="P425" s="125"/>
    </row>
    <row r="426" spans="2:16">
      <c r="B426" s="135"/>
      <c r="C426" s="189" t="s">
        <v>241</v>
      </c>
      <c r="D426" s="189" t="s">
        <v>58</v>
      </c>
      <c r="E426" s="189" t="b">
        <v>1</v>
      </c>
      <c r="F426" s="189" t="s">
        <v>12</v>
      </c>
      <c r="G426" s="189" t="s">
        <v>9</v>
      </c>
      <c r="H426" s="46" t="str">
        <f>D426&amp;"|"&amp;E426&amp;"|"&amp;F426&amp;"|"&amp;G426</f>
        <v>Lowland|TRUE|700to900|FreeDrain</v>
      </c>
      <c r="I426" s="132">
        <v>0.079131930462383385</v>
      </c>
      <c r="J426" s="50">
        <v>11.336420841886477</v>
      </c>
      <c r="K426" s="36" t="str">
        <f>D426&amp;"|"&amp;F426</f>
        <v>Lowland|700to900</v>
      </c>
      <c r="L426" s="47"/>
      <c r="M426" s="132"/>
      <c r="N426" s="50"/>
      <c r="O426" s="37"/>
      <c r="P426" s="125"/>
    </row>
    <row r="427" spans="2:16">
      <c r="B427" s="135"/>
      <c r="C427" s="189" t="s">
        <v>241</v>
      </c>
      <c r="D427" s="189" t="s">
        <v>58</v>
      </c>
      <c r="E427" s="189" t="b">
        <v>0</v>
      </c>
      <c r="F427" s="189" t="s">
        <v>12</v>
      </c>
      <c r="G427" s="189" t="s">
        <v>10</v>
      </c>
      <c r="H427" s="46" t="str">
        <f>D427&amp;"|"&amp;E427&amp;"|"&amp;F427&amp;"|"&amp;G427</f>
        <v>Lowland|FALSE|700to900|DrainedAr</v>
      </c>
      <c r="I427" s="132">
        <v>0.12863599596369241</v>
      </c>
      <c r="J427" s="50">
        <v>8.9063343491579943</v>
      </c>
      <c r="K427" s="36" t="str">
        <f>D427&amp;"|"&amp;F427</f>
        <v>Lowland|700to900</v>
      </c>
      <c r="L427" s="47"/>
      <c r="M427" s="132"/>
      <c r="N427" s="50"/>
      <c r="O427" s="37"/>
      <c r="P427" s="125"/>
    </row>
    <row r="428" spans="2:16">
      <c r="B428" s="135"/>
      <c r="C428" s="189" t="s">
        <v>241</v>
      </c>
      <c r="D428" s="189" t="s">
        <v>58</v>
      </c>
      <c r="E428" s="189" t="b">
        <v>1</v>
      </c>
      <c r="F428" s="189" t="s">
        <v>12</v>
      </c>
      <c r="G428" s="189" t="s">
        <v>10</v>
      </c>
      <c r="H428" s="46" t="str">
        <f>D428&amp;"|"&amp;E428&amp;"|"&amp;F428&amp;"|"&amp;G428</f>
        <v>Lowland|TRUE|700to900|DrainedAr</v>
      </c>
      <c r="I428" s="132">
        <v>0.12863576306176661</v>
      </c>
      <c r="J428" s="50">
        <v>8.8435569482541183</v>
      </c>
      <c r="K428" s="36" t="str">
        <f>D428&amp;"|"&amp;F428</f>
        <v>Lowland|700to900</v>
      </c>
      <c r="L428" s="47"/>
      <c r="M428" s="132"/>
      <c r="N428" s="50"/>
      <c r="O428" s="37"/>
      <c r="P428" s="125"/>
    </row>
    <row r="429" spans="2:16">
      <c r="B429" s="135"/>
      <c r="C429" s="189" t="s">
        <v>241</v>
      </c>
      <c r="D429" s="189" t="s">
        <v>58</v>
      </c>
      <c r="E429" s="189" t="b">
        <v>0</v>
      </c>
      <c r="F429" s="189" t="s">
        <v>12</v>
      </c>
      <c r="G429" s="189" t="s">
        <v>11</v>
      </c>
      <c r="H429" s="46" t="str">
        <f>D429&amp;"|"&amp;E429&amp;"|"&amp;F429&amp;"|"&amp;G429</f>
        <v>Lowland|FALSE|700to900|DrainedArGr</v>
      </c>
      <c r="I429" s="132">
        <v>0.39737496507766984</v>
      </c>
      <c r="J429" s="50">
        <v>5.9548753526050584</v>
      </c>
      <c r="K429" s="36" t="str">
        <f>D429&amp;"|"&amp;F429</f>
        <v>Lowland|700to900</v>
      </c>
      <c r="L429" s="47"/>
      <c r="M429" s="132"/>
      <c r="N429" s="50"/>
      <c r="O429" s="37"/>
      <c r="P429" s="125"/>
    </row>
    <row r="430" spans="2:16">
      <c r="B430" s="135"/>
      <c r="C430" s="189" t="s">
        <v>241</v>
      </c>
      <c r="D430" s="189" t="s">
        <v>58</v>
      </c>
      <c r="E430" s="189" t="b">
        <v>1</v>
      </c>
      <c r="F430" s="189" t="s">
        <v>12</v>
      </c>
      <c r="G430" s="189" t="s">
        <v>11</v>
      </c>
      <c r="H430" s="46" t="str">
        <f>D430&amp;"|"&amp;E430&amp;"|"&amp;F430&amp;"|"&amp;G430</f>
        <v>Lowland|TRUE|700to900|DrainedArGr</v>
      </c>
      <c r="I430" s="132">
        <v>0.39735480988359773</v>
      </c>
      <c r="J430" s="50">
        <v>5.9390947895498094</v>
      </c>
      <c r="K430" s="36" t="str">
        <f>D430&amp;"|"&amp;F430</f>
        <v>Lowland|700to900</v>
      </c>
      <c r="L430" s="47"/>
      <c r="M430" s="132"/>
      <c r="N430" s="50"/>
      <c r="O430" s="37"/>
      <c r="P430" s="125"/>
    </row>
    <row r="431" spans="2:16">
      <c r="B431" s="135"/>
      <c r="C431" s="189" t="s">
        <v>241</v>
      </c>
      <c r="D431" s="189" t="s">
        <v>58</v>
      </c>
      <c r="E431" s="189" t="b">
        <v>1</v>
      </c>
      <c r="F431" s="189" t="s">
        <v>28</v>
      </c>
      <c r="G431" s="189" t="s">
        <v>10</v>
      </c>
      <c r="H431" s="46" t="str">
        <f>D431&amp;"|"&amp;E431&amp;"|"&amp;F431&amp;"|"&amp;G431</f>
        <v>Lowland|TRUE|Over1500|DrainedAr</v>
      </c>
      <c r="I431" s="132">
        <v>0.44266178760683916</v>
      </c>
      <c r="J431" s="50">
        <v>14.092226976685108</v>
      </c>
      <c r="K431" s="36" t="str">
        <f>D431&amp;"|"&amp;F431</f>
        <v>Lowland|Over1500</v>
      </c>
      <c r="L431" s="47"/>
      <c r="M431" s="132"/>
      <c r="N431" s="50"/>
      <c r="O431" s="37"/>
      <c r="P431" s="125"/>
    </row>
    <row r="432" spans="2:16">
      <c r="B432" s="135"/>
      <c r="C432" s="189" t="s">
        <v>241</v>
      </c>
      <c r="D432" s="189" t="s">
        <v>59</v>
      </c>
      <c r="E432" s="189" t="b">
        <v>0</v>
      </c>
      <c r="F432" s="189" t="s">
        <v>8</v>
      </c>
      <c r="G432" s="189" t="s">
        <v>9</v>
      </c>
      <c r="H432" s="46" t="str">
        <f>D432&amp;"|"&amp;E432&amp;"|"&amp;F432&amp;"|"&amp;G432</f>
        <v>Mixed|FALSE|600to700|FreeDrain</v>
      </c>
      <c r="I432" s="132">
        <v>0.12581615202858673</v>
      </c>
      <c r="J432" s="50">
        <v>51.359981182844685</v>
      </c>
      <c r="K432" s="36" t="str">
        <f>D432&amp;"|"&amp;F432</f>
        <v>Mixed|600to700</v>
      </c>
      <c r="L432" s="47"/>
      <c r="M432" s="132"/>
      <c r="N432" s="50"/>
      <c r="O432" s="37"/>
      <c r="P432" s="125"/>
    </row>
    <row r="433" spans="2:16">
      <c r="B433" s="135"/>
      <c r="C433" s="189" t="s">
        <v>241</v>
      </c>
      <c r="D433" s="189" t="s">
        <v>59</v>
      </c>
      <c r="E433" s="189" t="b">
        <v>1</v>
      </c>
      <c r="F433" s="189" t="s">
        <v>8</v>
      </c>
      <c r="G433" s="189" t="s">
        <v>9</v>
      </c>
      <c r="H433" s="46" t="str">
        <f>D433&amp;"|"&amp;E433&amp;"|"&amp;F433&amp;"|"&amp;G433</f>
        <v>Mixed|TRUE|600to700|FreeDrain</v>
      </c>
      <c r="I433" s="132">
        <v>0.12516742766510505</v>
      </c>
      <c r="J433" s="50">
        <v>51.214821729942507</v>
      </c>
      <c r="K433" s="36" t="str">
        <f>D433&amp;"|"&amp;F433</f>
        <v>Mixed|600to700</v>
      </c>
      <c r="L433" s="47"/>
      <c r="M433" s="132"/>
      <c r="N433" s="50"/>
      <c r="O433" s="37"/>
      <c r="P433" s="125"/>
    </row>
    <row r="434" spans="2:16">
      <c r="B434" s="135"/>
      <c r="C434" s="189" t="s">
        <v>241</v>
      </c>
      <c r="D434" s="189" t="s">
        <v>59</v>
      </c>
      <c r="E434" s="189" t="b">
        <v>0</v>
      </c>
      <c r="F434" s="189" t="s">
        <v>8</v>
      </c>
      <c r="G434" s="189" t="s">
        <v>10</v>
      </c>
      <c r="H434" s="46" t="str">
        <f>D434&amp;"|"&amp;E434&amp;"|"&amp;F434&amp;"|"&amp;G434</f>
        <v>Mixed|FALSE|600to700|DrainedAr</v>
      </c>
      <c r="I434" s="132">
        <v>0.48979665877027506</v>
      </c>
      <c r="J434" s="50">
        <v>35.421673217182473</v>
      </c>
      <c r="K434" s="36" t="str">
        <f>D434&amp;"|"&amp;F434</f>
        <v>Mixed|600to700</v>
      </c>
      <c r="L434" s="47"/>
      <c r="M434" s="132"/>
      <c r="N434" s="50"/>
      <c r="O434" s="37"/>
      <c r="P434" s="125"/>
    </row>
    <row r="435" spans="2:16">
      <c r="B435" s="135"/>
      <c r="C435" s="189" t="s">
        <v>241</v>
      </c>
      <c r="D435" s="189" t="s">
        <v>59</v>
      </c>
      <c r="E435" s="189" t="b">
        <v>1</v>
      </c>
      <c r="F435" s="189" t="s">
        <v>8</v>
      </c>
      <c r="G435" s="189" t="s">
        <v>10</v>
      </c>
      <c r="H435" s="46" t="str">
        <f>D435&amp;"|"&amp;E435&amp;"|"&amp;F435&amp;"|"&amp;G435</f>
        <v>Mixed|TRUE|600to700|DrainedAr</v>
      </c>
      <c r="I435" s="132">
        <v>0.48491203262512267</v>
      </c>
      <c r="J435" s="50">
        <v>34.968145030370017</v>
      </c>
      <c r="K435" s="36" t="str">
        <f>D435&amp;"|"&amp;F435</f>
        <v>Mixed|600to700</v>
      </c>
      <c r="L435" s="47"/>
      <c r="M435" s="132"/>
      <c r="N435" s="50"/>
      <c r="O435" s="37"/>
      <c r="P435" s="125"/>
    </row>
    <row r="436" spans="2:16">
      <c r="B436" s="135"/>
      <c r="C436" s="189" t="s">
        <v>241</v>
      </c>
      <c r="D436" s="189" t="s">
        <v>59</v>
      </c>
      <c r="E436" s="189" t="b">
        <v>0</v>
      </c>
      <c r="F436" s="189" t="s">
        <v>8</v>
      </c>
      <c r="G436" s="189" t="s">
        <v>11</v>
      </c>
      <c r="H436" s="46" t="str">
        <f>D436&amp;"|"&amp;E436&amp;"|"&amp;F436&amp;"|"&amp;G436</f>
        <v>Mixed|FALSE|600to700|DrainedArGr</v>
      </c>
      <c r="I436" s="132">
        <v>0.98223688270845422</v>
      </c>
      <c r="J436" s="50">
        <v>35.177389161918363</v>
      </c>
      <c r="K436" s="36" t="str">
        <f>D436&amp;"|"&amp;F436</f>
        <v>Mixed|600to700</v>
      </c>
      <c r="L436" s="47"/>
      <c r="M436" s="132"/>
      <c r="N436" s="50"/>
      <c r="O436" s="37"/>
      <c r="P436" s="125"/>
    </row>
    <row r="437" spans="2:16">
      <c r="B437" s="135"/>
      <c r="C437" s="189" t="s">
        <v>241</v>
      </c>
      <c r="D437" s="189" t="s">
        <v>59</v>
      </c>
      <c r="E437" s="189" t="b">
        <v>1</v>
      </c>
      <c r="F437" s="189" t="s">
        <v>8</v>
      </c>
      <c r="G437" s="189" t="s">
        <v>11</v>
      </c>
      <c r="H437" s="46" t="str">
        <f>D437&amp;"|"&amp;E437&amp;"|"&amp;F437&amp;"|"&amp;G437</f>
        <v>Mixed|TRUE|600to700|DrainedArGr</v>
      </c>
      <c r="I437" s="132">
        <v>0.97325204807175314</v>
      </c>
      <c r="J437" s="50">
        <v>34.570387367895933</v>
      </c>
      <c r="K437" s="36" t="str">
        <f>D437&amp;"|"&amp;F437</f>
        <v>Mixed|600to700</v>
      </c>
      <c r="L437" s="47"/>
      <c r="M437" s="132"/>
      <c r="N437" s="50"/>
      <c r="O437" s="37"/>
      <c r="P437" s="125"/>
    </row>
    <row r="438" spans="2:16">
      <c r="B438" s="135"/>
      <c r="C438" s="189" t="s">
        <v>241</v>
      </c>
      <c r="D438" s="189" t="s">
        <v>59</v>
      </c>
      <c r="E438" s="189" t="b">
        <v>1</v>
      </c>
      <c r="F438" s="189" t="s">
        <v>12</v>
      </c>
      <c r="G438" s="189" t="s">
        <v>9</v>
      </c>
      <c r="H438" s="46" t="str">
        <f>D438&amp;"|"&amp;E438&amp;"|"&amp;F438&amp;"|"&amp;G438</f>
        <v>Mixed|TRUE|700to900|FreeDrain</v>
      </c>
      <c r="I438" s="132">
        <v>0.29500871939302109</v>
      </c>
      <c r="J438" s="50">
        <v>62.642584669810894</v>
      </c>
      <c r="K438" s="36" t="str">
        <f>D438&amp;"|"&amp;F438</f>
        <v>Mixed|700to900</v>
      </c>
      <c r="L438" s="47"/>
      <c r="M438" s="132"/>
      <c r="N438" s="50"/>
      <c r="O438" s="37"/>
      <c r="P438" s="125"/>
    </row>
    <row r="439" spans="2:16">
      <c r="B439" s="135"/>
      <c r="C439" s="189" t="s">
        <v>241</v>
      </c>
      <c r="D439" s="189" t="s">
        <v>59</v>
      </c>
      <c r="E439" s="189" t="b">
        <v>0</v>
      </c>
      <c r="F439" s="189" t="s">
        <v>12</v>
      </c>
      <c r="G439" s="189" t="s">
        <v>10</v>
      </c>
      <c r="H439" s="46" t="str">
        <f>D439&amp;"|"&amp;E439&amp;"|"&amp;F439&amp;"|"&amp;G439</f>
        <v>Mixed|FALSE|700to900|DrainedAr</v>
      </c>
      <c r="I439" s="132">
        <v>1.005252745684281</v>
      </c>
      <c r="J439" s="50">
        <v>46.138814189933214</v>
      </c>
      <c r="K439" s="36" t="str">
        <f>D439&amp;"|"&amp;F439</f>
        <v>Mixed|700to900</v>
      </c>
      <c r="L439" s="47"/>
      <c r="M439" s="132"/>
      <c r="N439" s="50"/>
      <c r="O439" s="37"/>
      <c r="P439" s="125"/>
    </row>
    <row r="440" spans="2:16">
      <c r="B440" s="135"/>
      <c r="C440" s="189" t="s">
        <v>241</v>
      </c>
      <c r="D440" s="189" t="s">
        <v>59</v>
      </c>
      <c r="E440" s="189" t="b">
        <v>1</v>
      </c>
      <c r="F440" s="189" t="s">
        <v>12</v>
      </c>
      <c r="G440" s="189" t="s">
        <v>10</v>
      </c>
      <c r="H440" s="46" t="str">
        <f>D440&amp;"|"&amp;E440&amp;"|"&amp;F440&amp;"|"&amp;G440</f>
        <v>Mixed|TRUE|700to900|DrainedAr</v>
      </c>
      <c r="I440" s="132">
        <v>0.99934496996485012</v>
      </c>
      <c r="J440" s="50">
        <v>45.548499202641274</v>
      </c>
      <c r="K440" s="36" t="str">
        <f>D440&amp;"|"&amp;F440</f>
        <v>Mixed|700to900</v>
      </c>
      <c r="L440" s="47"/>
      <c r="M440" s="132"/>
      <c r="N440" s="50"/>
      <c r="O440" s="37"/>
      <c r="P440" s="125"/>
    </row>
    <row r="441" spans="2:16">
      <c r="B441" s="135"/>
      <c r="C441" s="189" t="s">
        <v>241</v>
      </c>
      <c r="D441" s="189" t="s">
        <v>59</v>
      </c>
      <c r="E441" s="189" t="b">
        <v>0</v>
      </c>
      <c r="F441" s="189" t="s">
        <v>12</v>
      </c>
      <c r="G441" s="189" t="s">
        <v>11</v>
      </c>
      <c r="H441" s="46" t="str">
        <f>D441&amp;"|"&amp;E441&amp;"|"&amp;F441&amp;"|"&amp;G441</f>
        <v>Mixed|FALSE|700to900|DrainedArGr</v>
      </c>
      <c r="I441" s="132">
        <v>1.6484324476522072</v>
      </c>
      <c r="J441" s="50">
        <v>38.896128800217149</v>
      </c>
      <c r="K441" s="36" t="str">
        <f>D441&amp;"|"&amp;F441</f>
        <v>Mixed|700to900</v>
      </c>
      <c r="L441" s="47"/>
      <c r="M441" s="132"/>
      <c r="N441" s="50"/>
      <c r="O441" s="37"/>
      <c r="P441" s="125"/>
    </row>
    <row r="442" spans="2:16">
      <c r="B442" s="135"/>
      <c r="C442" s="189" t="s">
        <v>241</v>
      </c>
      <c r="D442" s="189" t="s">
        <v>59</v>
      </c>
      <c r="E442" s="189" t="b">
        <v>1</v>
      </c>
      <c r="F442" s="189" t="s">
        <v>12</v>
      </c>
      <c r="G442" s="189" t="s">
        <v>11</v>
      </c>
      <c r="H442" s="46" t="str">
        <f>D442&amp;"|"&amp;E442&amp;"|"&amp;F442&amp;"|"&amp;G442</f>
        <v>Mixed|TRUE|700to900|DrainedArGr</v>
      </c>
      <c r="I442" s="132">
        <v>1.637770163638111</v>
      </c>
      <c r="J442" s="50">
        <v>38.135717857330476</v>
      </c>
      <c r="K442" s="36" t="str">
        <f>D442&amp;"|"&amp;F442</f>
        <v>Mixed|700to900</v>
      </c>
      <c r="L442" s="47"/>
      <c r="M442" s="132"/>
      <c r="N442" s="50"/>
      <c r="O442" s="37"/>
      <c r="P442" s="125"/>
    </row>
    <row r="443" spans="2:16" ht="16.5">
      <c r="B443" s="135"/>
      <c r="C443" s="189" t="s">
        <v>112</v>
      </c>
      <c r="D443" s="189" t="s">
        <v>112</v>
      </c>
      <c r="E443" s="189" t="s">
        <v>112</v>
      </c>
      <c r="F443" s="189" t="s">
        <v>112</v>
      </c>
      <c r="G443" s="51" t="s">
        <v>60</v>
      </c>
      <c r="H443" s="52" t="str">
        <f>"|"&amp;"|"&amp;"|"&amp;G443</f>
        <v>|||Greenspace</v>
      </c>
      <c r="I443" s="54">
        <v>0.02</v>
      </c>
      <c r="J443" s="37">
        <v>3</v>
      </c>
      <c r="K443" s="28"/>
      <c r="L443" s="187"/>
      <c r="M443" s="187"/>
      <c r="N443" s="187"/>
      <c r="O443" s="187"/>
      <c r="P443" s="125"/>
    </row>
    <row r="444" spans="2:16" ht="16.5">
      <c r="B444" s="135"/>
      <c r="C444" s="189" t="s">
        <v>112</v>
      </c>
      <c r="D444" s="189" t="s">
        <v>112</v>
      </c>
      <c r="E444" s="189" t="s">
        <v>112</v>
      </c>
      <c r="F444" s="189" t="s">
        <v>112</v>
      </c>
      <c r="G444" s="51" t="s">
        <v>67</v>
      </c>
      <c r="H444" s="52" t="str">
        <f>"|"&amp;"|"&amp;"|"&amp;G444</f>
        <v>|||Community food growing</v>
      </c>
      <c r="I444" s="190">
        <f>IFERROR(VLOOKUP((VLOOKUP('Stage 2'!$E$9,Lookups!$C$480:$D$482,2,FALSE)&amp;"|"&amp;"General"&amp;"|"&amp;"FALSE"&amp;"|"&amp;VLOOKUP('Stage 2'!$E$11,Lookups!$C$454:$E$476,3,FALSE)&amp;"|"&amp;"FreeDrain"),$H$95:$O$442,2,FALSE), IFERROR(VLOOKUP("General"&amp;"|"&amp;VLOOKUP('Stage 2'!$E$11,Lookups!$C$454:$E$476,3,FALSE),$K$95:$O$266,2,FALSE),VLOOKUP("General",$D$95:$O$266,11,FALSE)))</f>
        <v>0.45344460962485733</v>
      </c>
      <c r="J444" s="191">
        <f>IFERROR(VLOOKUP((VLOOKUP('Stage 2'!$E$9,Lookups!$C$480:$D$482,2,FALSE)&amp;"|"&amp;"General"&amp;"|"&amp;"FALSE"&amp;"|"&amp;VLOOKUP('Stage 2'!$E$11,Lookups!$C$454:$E$476,3,FALSE)&amp;"|"&amp;"FreeDrain"),$H$95:$O$442,3,FALSE), IFERROR(VLOOKUP("General"&amp;"|"&amp;VLOOKUP('Stage 2'!$E$11,Lookups!$C$454:$E$476,3,FALSE),$K$95:$O$266,3,FALSE),VLOOKUP("General",$D$95:$O$266,12,FALSE)))</f>
        <v>25.028973007903257</v>
      </c>
      <c r="K444" s="187"/>
      <c r="L444" s="187"/>
      <c r="M444" s="187"/>
      <c r="N444" s="187"/>
      <c r="O444" s="187"/>
      <c r="P444" s="125"/>
    </row>
    <row r="445" spans="2:16" ht="16.5">
      <c r="B445" s="135"/>
      <c r="C445" s="189" t="s">
        <v>112</v>
      </c>
      <c r="D445" s="189" t="s">
        <v>112</v>
      </c>
      <c r="E445" s="189" t="s">
        <v>112</v>
      </c>
      <c r="F445" s="189" t="s">
        <v>112</v>
      </c>
      <c r="G445" s="51" t="s">
        <v>61</v>
      </c>
      <c r="H445" s="52" t="str">
        <f>"|"&amp;"|"&amp;"|"&amp;G445</f>
        <v>|||Woodland</v>
      </c>
      <c r="I445" s="54">
        <v>0.02</v>
      </c>
      <c r="J445" s="37">
        <v>3</v>
      </c>
      <c r="K445" s="28"/>
      <c r="L445" s="187"/>
      <c r="M445" s="187"/>
      <c r="N445" s="187"/>
      <c r="O445" s="187"/>
      <c r="P445" s="125"/>
    </row>
    <row r="446" spans="2:16" ht="16.5">
      <c r="B446" s="135"/>
      <c r="C446" s="189" t="s">
        <v>112</v>
      </c>
      <c r="D446" s="189" t="s">
        <v>112</v>
      </c>
      <c r="E446" s="189" t="s">
        <v>112</v>
      </c>
      <c r="F446" s="189" t="s">
        <v>112</v>
      </c>
      <c r="G446" s="51" t="s">
        <v>62</v>
      </c>
      <c r="H446" s="52" t="str">
        <f>"|"&amp;"|"&amp;"|"&amp;G446</f>
        <v>|||Shrub</v>
      </c>
      <c r="I446" s="54">
        <v>0.02</v>
      </c>
      <c r="J446" s="37">
        <v>3</v>
      </c>
      <c r="K446" s="28"/>
      <c r="L446" s="187"/>
      <c r="M446" s="187"/>
      <c r="N446" s="187"/>
      <c r="O446" s="187"/>
      <c r="P446" s="125"/>
    </row>
    <row r="447" spans="2:16" ht="16.5">
      <c r="B447" s="135"/>
      <c r="C447" s="189" t="s">
        <v>112</v>
      </c>
      <c r="D447" s="189" t="s">
        <v>112</v>
      </c>
      <c r="E447" s="189" t="s">
        <v>112</v>
      </c>
      <c r="F447" s="189" t="s">
        <v>112</v>
      </c>
      <c r="G447" s="51" t="s">
        <v>63</v>
      </c>
      <c r="H447" s="52" t="str">
        <f>"|"&amp;"|"&amp;"|"&amp;G447</f>
        <v>|||Water</v>
      </c>
      <c r="I447" s="54">
        <v>0</v>
      </c>
      <c r="J447" s="37">
        <v>0</v>
      </c>
      <c r="K447" s="28"/>
      <c r="L447" s="187"/>
      <c r="M447" s="187"/>
      <c r="N447" s="187"/>
      <c r="O447" s="187"/>
      <c r="P447" s="125"/>
    </row>
    <row r="448" spans="2:16" ht="16.5">
      <c r="B448" s="135"/>
      <c r="C448" s="189" t="s">
        <v>112</v>
      </c>
      <c r="D448" s="189" t="s">
        <v>112</v>
      </c>
      <c r="E448" s="189" t="s">
        <v>112</v>
      </c>
      <c r="F448" s="189" t="s">
        <v>112</v>
      </c>
      <c r="G448" s="52" t="s">
        <v>64</v>
      </c>
      <c r="H448" s="52" t="str">
        <f>"|"&amp;"|"&amp;"|"&amp;G448</f>
        <v>|||Residential urban land</v>
      </c>
      <c r="I448" s="192" t="e">
        <f>VLOOKUP('Stage 2'!E11,Lookups!C454:H476,6,FALSE)</f>
        <v>#N/A</v>
      </c>
      <c r="J448" s="37" t="e">
        <f>VLOOKUP('Stage 2'!E11,Lookups!C454:K476,9,FALSE)</f>
        <v>#N/A</v>
      </c>
      <c r="K448" s="28"/>
      <c r="L448" s="187"/>
      <c r="M448" s="187"/>
      <c r="N448" s="187"/>
      <c r="O448" s="187"/>
      <c r="P448" s="125"/>
    </row>
    <row r="449" spans="2:16" ht="16.5">
      <c r="B449" s="135"/>
      <c r="C449" s="189" t="s">
        <v>112</v>
      </c>
      <c r="D449" s="189" t="s">
        <v>112</v>
      </c>
      <c r="E449" s="189" t="s">
        <v>112</v>
      </c>
      <c r="F449" s="189" t="s">
        <v>112</v>
      </c>
      <c r="G449" s="52" t="s">
        <v>65</v>
      </c>
      <c r="H449" s="52" t="str">
        <f>"|"&amp;"|"&amp;"|"&amp;G449</f>
        <v>|||Commercial/industrial urban land</v>
      </c>
      <c r="I449" s="192" t="e">
        <f>VLOOKUP('Stage 2'!E11,Lookups!C454:I476,7,FALSE)</f>
        <v>#N/A</v>
      </c>
      <c r="J449" s="37" t="e">
        <f>VLOOKUP('Stage 2'!E11,Lookups!C454:M476,10,FALSE)</f>
        <v>#N/A</v>
      </c>
      <c r="K449" s="28"/>
      <c r="L449" s="187"/>
      <c r="M449" s="187"/>
      <c r="N449" s="187"/>
      <c r="O449" s="187"/>
      <c r="P449" s="125"/>
    </row>
    <row r="450" spans="2:16" ht="16.5">
      <c r="B450" s="135"/>
      <c r="C450" s="189" t="s">
        <v>112</v>
      </c>
      <c r="D450" s="189" t="s">
        <v>112</v>
      </c>
      <c r="E450" s="189" t="s">
        <v>112</v>
      </c>
      <c r="F450" s="189" t="s">
        <v>112</v>
      </c>
      <c r="G450" s="52" t="s">
        <v>66</v>
      </c>
      <c r="H450" s="52" t="str">
        <f>"|"&amp;"|"&amp;"|"&amp;G450</f>
        <v>|||Open urban land</v>
      </c>
      <c r="I450" s="192" t="e">
        <f>VLOOKUP('Stage 2'!E11,Lookups!C454:J476,8,FALSE)</f>
        <v>#N/A</v>
      </c>
      <c r="J450" s="37" t="e">
        <f>VLOOKUP('Stage 2'!E11,Lookups!C454:P476,11,FALSE)</f>
        <v>#N/A</v>
      </c>
      <c r="K450" s="28"/>
      <c r="L450" s="187"/>
      <c r="M450" s="187"/>
      <c r="N450" s="187"/>
      <c r="O450" s="187"/>
      <c r="P450" s="125"/>
    </row>
    <row r="451" spans="2:16">
      <c r="B451" s="135"/>
      <c r="C451" s="28"/>
      <c r="D451" s="28"/>
      <c r="E451" s="28"/>
      <c r="F451" s="28"/>
      <c r="G451" s="28"/>
      <c r="H451" s="28"/>
      <c r="I451" s="29"/>
      <c r="J451" s="29"/>
      <c r="K451" s="28"/>
      <c r="L451" s="187"/>
      <c r="M451" s="187"/>
      <c r="N451" s="187"/>
      <c r="O451" s="187"/>
      <c r="P451" s="125"/>
    </row>
    <row r="452" spans="2:16">
      <c r="B452" s="135"/>
      <c r="C452" s="28" t="s">
        <v>189</v>
      </c>
      <c r="D452" s="28"/>
      <c r="E452" s="28"/>
      <c r="F452" s="28"/>
      <c r="G452" s="28"/>
      <c r="H452" s="28"/>
      <c r="I452" s="29"/>
      <c r="J452" s="29"/>
      <c r="K452" s="28"/>
      <c r="L452" s="187"/>
      <c r="M452" s="187"/>
      <c r="N452" s="187"/>
      <c r="O452" s="187"/>
      <c r="P452" s="125"/>
    </row>
    <row r="453" spans="2:16" ht="30.75" thickBot="1">
      <c r="B453" s="135"/>
      <c r="C453" s="35" t="s">
        <v>29</v>
      </c>
      <c r="D453" s="48" t="s">
        <v>113</v>
      </c>
      <c r="E453" s="48" t="s">
        <v>114</v>
      </c>
      <c r="F453" s="48" t="s">
        <v>122</v>
      </c>
      <c r="G453" s="48" t="s">
        <v>192</v>
      </c>
      <c r="H453" s="48" t="s">
        <v>119</v>
      </c>
      <c r="I453" s="48" t="s">
        <v>120</v>
      </c>
      <c r="J453" s="48" t="s">
        <v>121</v>
      </c>
      <c r="K453" s="48" t="s">
        <v>116</v>
      </c>
      <c r="L453" s="35" t="s">
        <v>117</v>
      </c>
      <c r="M453" s="134" t="s">
        <v>118</v>
      </c>
      <c r="N453" s="16"/>
      <c r="O453" s="16"/>
      <c r="P453" s="125"/>
    </row>
    <row r="454" spans="2:16" ht="15.75" thickTop="1">
      <c r="B454" s="135"/>
      <c r="C454" s="49" t="s">
        <v>30</v>
      </c>
      <c r="D454" s="190">
        <v>516.5</v>
      </c>
      <c r="E454" s="53" t="s">
        <v>115</v>
      </c>
      <c r="F454" s="190">
        <v>47.366326420209788</v>
      </c>
      <c r="G454" s="190">
        <v>63.946326420209786</v>
      </c>
      <c r="H454" s="190">
        <v>1.0030530114375726</v>
      </c>
      <c r="I454" s="190">
        <v>0.73394122788115068</v>
      </c>
      <c r="J454" s="190">
        <v>0.5382235671128438</v>
      </c>
      <c r="K454" s="190">
        <v>9.4130591148709328</v>
      </c>
      <c r="L454" s="193">
        <v>5.02029819459783</v>
      </c>
      <c r="M454" s="191">
        <v>5.5487506361344439</v>
      </c>
      <c r="N454" s="194"/>
      <c r="O454" s="194"/>
      <c r="P454" s="125"/>
    </row>
    <row r="455" spans="2:16">
      <c r="B455" s="135"/>
      <c r="C455" s="49" t="s">
        <v>31</v>
      </c>
      <c r="D455" s="190">
        <v>537.55</v>
      </c>
      <c r="E455" s="53" t="s">
        <v>115</v>
      </c>
      <c r="F455" s="190">
        <v>47.6055095733137</v>
      </c>
      <c r="G455" s="190">
        <v>64.1855095733137</v>
      </c>
      <c r="H455" s="190">
        <v>1.049204008516526</v>
      </c>
      <c r="I455" s="190">
        <v>0.76771025013404326</v>
      </c>
      <c r="J455" s="190">
        <v>0.56298751676496517</v>
      </c>
      <c r="K455" s="190">
        <v>9.83333239127341</v>
      </c>
      <c r="L455" s="193">
        <v>5.2444439420124853</v>
      </c>
      <c r="M455" s="191">
        <v>5.7964906727506413</v>
      </c>
      <c r="N455" s="194"/>
      <c r="O455" s="194"/>
      <c r="P455" s="125"/>
    </row>
    <row r="456" spans="2:16">
      <c r="B456" s="135"/>
      <c r="C456" s="49" t="s">
        <v>33</v>
      </c>
      <c r="D456" s="190">
        <v>562.55</v>
      </c>
      <c r="E456" s="53" t="s">
        <v>115</v>
      </c>
      <c r="F456" s="190">
        <v>47.8624816470968</v>
      </c>
      <c r="G456" s="190">
        <v>64.4424816470968</v>
      </c>
      <c r="H456" s="190">
        <v>1.1039266010735462</v>
      </c>
      <c r="I456" s="190">
        <v>0.80775117151722908</v>
      </c>
      <c r="J456" s="190">
        <v>0.59235085911263463</v>
      </c>
      <c r="K456" s="190">
        <v>10.331853644413675</v>
      </c>
      <c r="L456" s="193">
        <v>5.5103219436872939</v>
      </c>
      <c r="M456" s="191">
        <v>6.0903558324964822</v>
      </c>
      <c r="N456" s="194"/>
      <c r="O456" s="194"/>
      <c r="P456" s="125"/>
    </row>
    <row r="457" spans="2:16">
      <c r="B457" s="135"/>
      <c r="C457" s="49" t="s">
        <v>34</v>
      </c>
      <c r="D457" s="190">
        <v>587.55</v>
      </c>
      <c r="E457" s="53" t="s">
        <v>115</v>
      </c>
      <c r="F457" s="190">
        <v>48.0897204289799</v>
      </c>
      <c r="G457" s="190">
        <v>64.6697204289799</v>
      </c>
      <c r="H457" s="190">
        <v>1.1584597247599329</v>
      </c>
      <c r="I457" s="190">
        <v>0.84765345714141427</v>
      </c>
      <c r="J457" s="190">
        <v>0.62161253523703719</v>
      </c>
      <c r="K457" s="190">
        <v>10.829057857843434</v>
      </c>
      <c r="L457" s="193">
        <v>5.775497524183165</v>
      </c>
      <c r="M457" s="191">
        <v>6.3834446319919191</v>
      </c>
      <c r="N457" s="194"/>
      <c r="O457" s="194"/>
      <c r="P457" s="125"/>
    </row>
    <row r="458" spans="2:16">
      <c r="B458" s="135"/>
      <c r="C458" s="49" t="s">
        <v>35</v>
      </c>
      <c r="D458" s="190">
        <v>612.55</v>
      </c>
      <c r="E458" s="53" t="s">
        <v>8</v>
      </c>
      <c r="F458" s="190">
        <v>48.286892468962989</v>
      </c>
      <c r="G458" s="190">
        <v>64.866892468962988</v>
      </c>
      <c r="H458" s="190">
        <v>1.2127035752563942</v>
      </c>
      <c r="I458" s="190">
        <v>0.88734407945589822</v>
      </c>
      <c r="J458" s="190">
        <v>0.650718991600992</v>
      </c>
      <c r="K458" s="190">
        <v>11.324251269831036</v>
      </c>
      <c r="L458" s="193">
        <v>6.0396006772432189</v>
      </c>
      <c r="M458" s="191">
        <v>6.6753481169530309</v>
      </c>
      <c r="N458" s="194"/>
      <c r="O458" s="194"/>
      <c r="P458" s="125"/>
    </row>
    <row r="459" spans="2:16">
      <c r="B459" s="135"/>
      <c r="C459" s="49" t="s">
        <v>36</v>
      </c>
      <c r="D459" s="190">
        <v>637.55</v>
      </c>
      <c r="E459" s="53" t="s">
        <v>8</v>
      </c>
      <c r="F459" s="190">
        <v>48.453664317046091</v>
      </c>
      <c r="G459" s="190">
        <v>65.033664317046089</v>
      </c>
      <c r="H459" s="190">
        <v>1.2665569810986419</v>
      </c>
      <c r="I459" s="190">
        <v>0.92674901055998193</v>
      </c>
      <c r="J459" s="190">
        <v>0.67961594107732015</v>
      </c>
      <c r="K459" s="190">
        <v>11.816730615319829</v>
      </c>
      <c r="L459" s="193">
        <v>6.302256328170575</v>
      </c>
      <c r="M459" s="191">
        <v>6.9656517311358979</v>
      </c>
      <c r="N459" s="194"/>
      <c r="O459" s="194"/>
      <c r="P459" s="125"/>
    </row>
    <row r="460" spans="2:16">
      <c r="B460" s="135"/>
      <c r="C460" s="49" t="s">
        <v>37</v>
      </c>
      <c r="D460" s="190">
        <v>662.55</v>
      </c>
      <c r="E460" s="53" t="s">
        <v>8</v>
      </c>
      <c r="F460" s="190">
        <v>48.589702523229192</v>
      </c>
      <c r="G460" s="190">
        <v>65.169702523229191</v>
      </c>
      <c r="H460" s="190">
        <v>1.3199174036773855</v>
      </c>
      <c r="I460" s="190">
        <v>0.965793222202965</v>
      </c>
      <c r="J460" s="190">
        <v>0.70824836294884108</v>
      </c>
      <c r="K460" s="190">
        <v>12.305783125928167</v>
      </c>
      <c r="L460" s="193">
        <v>6.5630843338283551</v>
      </c>
      <c r="M460" s="191">
        <v>7.2539353163366025</v>
      </c>
      <c r="N460" s="194"/>
      <c r="O460" s="194"/>
      <c r="P460" s="125"/>
    </row>
    <row r="461" spans="2:16">
      <c r="B461" s="135"/>
      <c r="C461" s="49" t="s">
        <v>38</v>
      </c>
      <c r="D461" s="190">
        <v>687.55</v>
      </c>
      <c r="E461" s="53" t="s">
        <v>8</v>
      </c>
      <c r="F461" s="190">
        <v>48.694673637512295</v>
      </c>
      <c r="G461" s="190">
        <v>65.2746736375123</v>
      </c>
      <c r="H461" s="190">
        <v>1.3726809372383346</v>
      </c>
      <c r="I461" s="190">
        <v>1.0044006857841474</v>
      </c>
      <c r="J461" s="190">
        <v>0.73656050290837471</v>
      </c>
      <c r="K461" s="190">
        <v>12.790686529949399</v>
      </c>
      <c r="L461" s="193">
        <v>6.82169948263968</v>
      </c>
      <c r="M461" s="191">
        <v>7.5397731123912237</v>
      </c>
      <c r="N461" s="194"/>
      <c r="O461" s="194"/>
      <c r="P461" s="125"/>
    </row>
    <row r="462" spans="2:16">
      <c r="B462" s="135"/>
      <c r="C462" s="49" t="s">
        <v>39</v>
      </c>
      <c r="D462" s="190">
        <v>725.05</v>
      </c>
      <c r="E462" s="53" t="s">
        <v>12</v>
      </c>
      <c r="F462" s="190">
        <v>48.793150089749446</v>
      </c>
      <c r="G462" s="190">
        <v>65.373150089749444</v>
      </c>
      <c r="H462" s="190">
        <v>1.4504764123754863</v>
      </c>
      <c r="I462" s="190">
        <v>1.0613242041771849</v>
      </c>
      <c r="J462" s="190">
        <v>0.77830441639660242</v>
      </c>
      <c r="K462" s="190">
        <v>13.508658704683258</v>
      </c>
      <c r="L462" s="193">
        <v>7.20461797583107</v>
      </c>
      <c r="M462" s="191">
        <v>7.9629988153922353</v>
      </c>
      <c r="N462" s="194"/>
      <c r="O462" s="194"/>
      <c r="P462" s="125"/>
    </row>
    <row r="463" spans="2:16">
      <c r="B463" s="135"/>
      <c r="C463" s="49" t="s">
        <v>40</v>
      </c>
      <c r="D463" s="190">
        <v>775.05</v>
      </c>
      <c r="E463" s="53" t="s">
        <v>12</v>
      </c>
      <c r="F463" s="190">
        <v>48.817999999999984</v>
      </c>
      <c r="G463" s="190">
        <v>65.397999999999982</v>
      </c>
      <c r="H463" s="190">
        <v>1.5512920268999992</v>
      </c>
      <c r="I463" s="190">
        <v>1.1350917269999994</v>
      </c>
      <c r="J463" s="190">
        <v>0.83240059979999959</v>
      </c>
      <c r="K463" s="190">
        <v>14.445715171499996</v>
      </c>
      <c r="L463" s="193">
        <v>7.7043814247999975</v>
      </c>
      <c r="M463" s="191">
        <v>8.5153689431999986</v>
      </c>
      <c r="N463" s="194"/>
      <c r="O463" s="194"/>
      <c r="P463" s="125"/>
    </row>
    <row r="464" spans="2:16">
      <c r="B464" s="135"/>
      <c r="C464" s="49" t="s">
        <v>41</v>
      </c>
      <c r="D464" s="190">
        <v>825.05</v>
      </c>
      <c r="E464" s="53" t="s">
        <v>12</v>
      </c>
      <c r="F464" s="190">
        <v>48.817999999999984</v>
      </c>
      <c r="G464" s="190">
        <v>65.397999999999982</v>
      </c>
      <c r="H464" s="190">
        <v>1.6513689268999994</v>
      </c>
      <c r="I464" s="190">
        <v>1.2083187269999995</v>
      </c>
      <c r="J464" s="190">
        <v>0.88610039979999966</v>
      </c>
      <c r="K464" s="190">
        <v>15.377636671499994</v>
      </c>
      <c r="L464" s="193">
        <v>8.2014062247999959</v>
      </c>
      <c r="M464" s="191">
        <v>9.064712143199996</v>
      </c>
      <c r="N464" s="194"/>
      <c r="O464" s="194"/>
      <c r="P464" s="125"/>
    </row>
    <row r="465" spans="2:16">
      <c r="B465" s="135"/>
      <c r="C465" s="49" t="s">
        <v>43</v>
      </c>
      <c r="D465" s="190">
        <v>875.05</v>
      </c>
      <c r="E465" s="53" t="s">
        <v>12</v>
      </c>
      <c r="F465" s="190">
        <v>48.817999999999984</v>
      </c>
      <c r="G465" s="190">
        <v>65.397999999999982</v>
      </c>
      <c r="H465" s="190">
        <v>1.7514458268999995</v>
      </c>
      <c r="I465" s="190">
        <v>1.2815457269999997</v>
      </c>
      <c r="J465" s="190">
        <v>0.93980019979999974</v>
      </c>
      <c r="K465" s="190">
        <v>16.309558171499994</v>
      </c>
      <c r="L465" s="193">
        <v>8.6984310247999979</v>
      </c>
      <c r="M465" s="191">
        <v>9.6140553431999969</v>
      </c>
      <c r="N465" s="194"/>
      <c r="O465" s="194"/>
      <c r="P465" s="125"/>
    </row>
    <row r="466" spans="2:16">
      <c r="B466" s="135"/>
      <c r="C466" s="49" t="s">
        <v>44</v>
      </c>
      <c r="D466" s="190">
        <v>925.05</v>
      </c>
      <c r="E466" s="53" t="s">
        <v>22</v>
      </c>
      <c r="F466" s="190">
        <v>48.817999999999984</v>
      </c>
      <c r="G466" s="190">
        <v>65.397999999999982</v>
      </c>
      <c r="H466" s="190">
        <v>1.851522726899999</v>
      </c>
      <c r="I466" s="190">
        <v>1.3547727269999992</v>
      </c>
      <c r="J466" s="190">
        <v>0.99349999979999948</v>
      </c>
      <c r="K466" s="190">
        <v>17.241479671499995</v>
      </c>
      <c r="L466" s="193">
        <v>9.1954558247999962</v>
      </c>
      <c r="M466" s="191">
        <v>10.163398543199996</v>
      </c>
      <c r="N466" s="194"/>
      <c r="O466" s="194"/>
      <c r="P466" s="125"/>
    </row>
    <row r="467" spans="2:16">
      <c r="B467" s="135"/>
      <c r="C467" s="49" t="s">
        <v>45</v>
      </c>
      <c r="D467" s="190">
        <v>975.05</v>
      </c>
      <c r="E467" s="53" t="s">
        <v>22</v>
      </c>
      <c r="F467" s="190">
        <v>48.817999999999984</v>
      </c>
      <c r="G467" s="190">
        <v>65.397999999999982</v>
      </c>
      <c r="H467" s="190">
        <v>1.9515996268999991</v>
      </c>
      <c r="I467" s="190">
        <v>1.4279997269999993</v>
      </c>
      <c r="J467" s="190">
        <v>1.0471997997999996</v>
      </c>
      <c r="K467" s="190">
        <v>18.173401171499993</v>
      </c>
      <c r="L467" s="193">
        <v>9.6924806247999964</v>
      </c>
      <c r="M467" s="191">
        <v>10.712741743199995</v>
      </c>
      <c r="N467" s="194"/>
      <c r="O467" s="194"/>
      <c r="P467" s="125"/>
    </row>
    <row r="468" spans="2:16">
      <c r="B468" s="135"/>
      <c r="C468" s="49" t="s">
        <v>46</v>
      </c>
      <c r="D468" s="190">
        <v>1050.05</v>
      </c>
      <c r="E468" s="53" t="s">
        <v>22</v>
      </c>
      <c r="F468" s="190">
        <v>48.817999999999984</v>
      </c>
      <c r="G468" s="190">
        <v>65.397999999999982</v>
      </c>
      <c r="H468" s="190">
        <v>2.101714976899999</v>
      </c>
      <c r="I468" s="190">
        <v>1.5378402269999993</v>
      </c>
      <c r="J468" s="190">
        <v>1.1277494997999997</v>
      </c>
      <c r="K468" s="190">
        <v>19.571283421499995</v>
      </c>
      <c r="L468" s="193">
        <v>10.438017824799996</v>
      </c>
      <c r="M468" s="191">
        <v>11.536756543199996</v>
      </c>
      <c r="N468" s="194"/>
      <c r="O468" s="194"/>
      <c r="P468" s="125"/>
    </row>
    <row r="469" spans="2:16">
      <c r="B469" s="135"/>
      <c r="C469" s="49" t="s">
        <v>48</v>
      </c>
      <c r="D469" s="190">
        <v>1150.05</v>
      </c>
      <c r="E469" s="53" t="s">
        <v>22</v>
      </c>
      <c r="F469" s="190">
        <v>48.817999999999984</v>
      </c>
      <c r="G469" s="190">
        <v>65.397999999999982</v>
      </c>
      <c r="H469" s="190">
        <v>2.3018687768999988</v>
      </c>
      <c r="I469" s="190">
        <v>1.6842942269999992</v>
      </c>
      <c r="J469" s="190">
        <v>1.2351490997999994</v>
      </c>
      <c r="K469" s="190">
        <v>21.435126421499994</v>
      </c>
      <c r="L469" s="193">
        <v>11.432067424799996</v>
      </c>
      <c r="M469" s="191">
        <v>12.635442943199996</v>
      </c>
      <c r="N469" s="194"/>
      <c r="O469" s="194"/>
      <c r="P469" s="125"/>
    </row>
    <row r="470" spans="2:16">
      <c r="B470" s="135"/>
      <c r="C470" s="49" t="s">
        <v>49</v>
      </c>
      <c r="D470" s="190">
        <v>1300.05</v>
      </c>
      <c r="E470" s="53" t="s">
        <v>27</v>
      </c>
      <c r="F470" s="190">
        <v>48.817999999999984</v>
      </c>
      <c r="G470" s="190">
        <v>65.397999999999982</v>
      </c>
      <c r="H470" s="190">
        <v>2.602099476899999</v>
      </c>
      <c r="I470" s="190">
        <v>1.9039752269999992</v>
      </c>
      <c r="J470" s="190">
        <v>1.3962484997999995</v>
      </c>
      <c r="K470" s="190">
        <v>24.230890921499991</v>
      </c>
      <c r="L470" s="193">
        <v>12.923141824799995</v>
      </c>
      <c r="M470" s="191">
        <v>14.283472543199993</v>
      </c>
      <c r="N470" s="194"/>
      <c r="O470" s="194"/>
      <c r="P470" s="125"/>
    </row>
    <row r="471" spans="2:16">
      <c r="B471" s="135"/>
      <c r="C471" s="49" t="s">
        <v>50</v>
      </c>
      <c r="D471" s="190">
        <v>1500.05</v>
      </c>
      <c r="E471" s="53" t="s">
        <v>27</v>
      </c>
      <c r="F471" s="190">
        <v>48.817999999999984</v>
      </c>
      <c r="G471" s="190">
        <v>65.397999999999982</v>
      </c>
      <c r="H471" s="190">
        <v>3.0024070768999986</v>
      </c>
      <c r="I471" s="190">
        <v>2.1968832269999989</v>
      </c>
      <c r="J471" s="190">
        <v>1.6110476997999994</v>
      </c>
      <c r="K471" s="190">
        <v>27.95857692149999</v>
      </c>
      <c r="L471" s="193">
        <v>14.911241024799995</v>
      </c>
      <c r="M471" s="191">
        <v>16.480845343199995</v>
      </c>
      <c r="N471" s="194"/>
      <c r="O471" s="194"/>
      <c r="P471" s="125"/>
    </row>
    <row r="472" spans="2:16">
      <c r="B472" s="135"/>
      <c r="C472" s="49" t="s">
        <v>51</v>
      </c>
      <c r="D472" s="190">
        <v>1800.05</v>
      </c>
      <c r="E472" s="53" t="s">
        <v>28</v>
      </c>
      <c r="F472" s="190">
        <v>48.817999999999984</v>
      </c>
      <c r="G472" s="190">
        <v>65.397999999999982</v>
      </c>
      <c r="H472" s="190">
        <v>3.6028684768999981</v>
      </c>
      <c r="I472" s="190">
        <v>2.6362452269999985</v>
      </c>
      <c r="J472" s="190">
        <v>1.9332464997999992</v>
      </c>
      <c r="K472" s="190">
        <v>33.550105921499991</v>
      </c>
      <c r="L472" s="193">
        <v>17.893389824799996</v>
      </c>
      <c r="M472" s="191">
        <v>19.776904543199993</v>
      </c>
      <c r="N472" s="194"/>
      <c r="O472" s="194"/>
      <c r="P472" s="125"/>
    </row>
    <row r="473" spans="2:16">
      <c r="B473" s="135"/>
      <c r="C473" s="49" t="s">
        <v>52</v>
      </c>
      <c r="D473" s="190">
        <v>2200.05</v>
      </c>
      <c r="E473" s="53" t="s">
        <v>28</v>
      </c>
      <c r="F473" s="190">
        <v>48.817999999999984</v>
      </c>
      <c r="G473" s="190">
        <v>65.397999999999982</v>
      </c>
      <c r="H473" s="190">
        <v>4.4034836768999988</v>
      </c>
      <c r="I473" s="190">
        <v>3.2220612269999993</v>
      </c>
      <c r="J473" s="190">
        <v>2.3628448998</v>
      </c>
      <c r="K473" s="190">
        <v>41.005477921499988</v>
      </c>
      <c r="L473" s="193">
        <v>21.869588224799994</v>
      </c>
      <c r="M473" s="191">
        <v>24.17165014319999</v>
      </c>
      <c r="N473" s="194"/>
      <c r="O473" s="194"/>
      <c r="P473" s="125"/>
    </row>
    <row r="474" spans="2:16">
      <c r="B474" s="135"/>
      <c r="C474" s="49" t="s">
        <v>53</v>
      </c>
      <c r="D474" s="190">
        <v>2700.05</v>
      </c>
      <c r="E474" s="53" t="s">
        <v>28</v>
      </c>
      <c r="F474" s="190">
        <v>48.817999999999984</v>
      </c>
      <c r="G474" s="190">
        <v>65.397999999999982</v>
      </c>
      <c r="H474" s="190">
        <v>5.4042526768999988</v>
      </c>
      <c r="I474" s="190">
        <v>3.9543312269999986</v>
      </c>
      <c r="J474" s="190">
        <v>2.8998428997999994</v>
      </c>
      <c r="K474" s="190">
        <v>50.324692921499988</v>
      </c>
      <c r="L474" s="193">
        <v>26.839836224799992</v>
      </c>
      <c r="M474" s="191">
        <v>29.665082143199992</v>
      </c>
      <c r="N474" s="194"/>
      <c r="O474" s="194"/>
      <c r="P474" s="125"/>
    </row>
    <row r="475" spans="2:16">
      <c r="B475" s="135"/>
      <c r="C475" s="49" t="s">
        <v>54</v>
      </c>
      <c r="D475" s="190">
        <v>3500.05</v>
      </c>
      <c r="E475" s="53" t="s">
        <v>28</v>
      </c>
      <c r="F475" s="190">
        <v>48.817999999999984</v>
      </c>
      <c r="G475" s="190">
        <v>65.397999999999982</v>
      </c>
      <c r="H475" s="190">
        <v>7.0054830768999983</v>
      </c>
      <c r="I475" s="190">
        <v>5.1259632269999988</v>
      </c>
      <c r="J475" s="190">
        <v>3.7590396997999993</v>
      </c>
      <c r="K475" s="190">
        <v>65.235436921499982</v>
      </c>
      <c r="L475" s="193">
        <v>34.792233024799991</v>
      </c>
      <c r="M475" s="191">
        <v>38.454573343199982</v>
      </c>
      <c r="N475" s="194"/>
      <c r="O475" s="194"/>
      <c r="P475" s="125"/>
    </row>
    <row r="476" spans="2:16">
      <c r="B476" s="135"/>
      <c r="C476" s="49" t="s">
        <v>56</v>
      </c>
      <c r="D476" s="190">
        <v>4750.05</v>
      </c>
      <c r="E476" s="53" t="s">
        <v>28</v>
      </c>
      <c r="F476" s="190">
        <v>48.817999999999984</v>
      </c>
      <c r="G476" s="190">
        <v>65.397999999999982</v>
      </c>
      <c r="H476" s="190">
        <v>9.5074055768999965</v>
      </c>
      <c r="I476" s="190">
        <v>6.9566382269999973</v>
      </c>
      <c r="J476" s="190">
        <v>5.1015346997999984</v>
      </c>
      <c r="K476" s="190">
        <v>88.533474421499989</v>
      </c>
      <c r="L476" s="193">
        <v>47.217853024799986</v>
      </c>
      <c r="M476" s="191">
        <v>52.188153343199986</v>
      </c>
      <c r="N476" s="194"/>
      <c r="O476" s="194"/>
      <c r="P476" s="125"/>
    </row>
    <row r="477" spans="2:16">
      <c r="B477" s="135"/>
      <c r="C477" s="28"/>
      <c r="D477" s="28"/>
      <c r="E477" s="28"/>
      <c r="F477" s="28"/>
      <c r="G477" s="28"/>
      <c r="H477" s="28"/>
      <c r="I477" s="29"/>
      <c r="J477" s="29"/>
      <c r="K477" s="28"/>
      <c r="L477" s="187"/>
      <c r="M477" s="187"/>
      <c r="N477" s="187"/>
      <c r="O477" s="187"/>
      <c r="P477" s="125"/>
    </row>
    <row r="478" spans="2:16">
      <c r="B478" s="135"/>
      <c r="C478" s="28" t="s">
        <v>126</v>
      </c>
      <c r="D478" s="28"/>
      <c r="E478" s="28"/>
      <c r="F478" s="28"/>
      <c r="G478" s="28" t="s">
        <v>128</v>
      </c>
      <c r="H478" s="28"/>
      <c r="I478" s="28" t="s">
        <v>129</v>
      </c>
      <c r="J478" s="29"/>
      <c r="K478" s="28"/>
      <c r="L478" s="187"/>
      <c r="M478" s="187"/>
      <c r="N478" s="187"/>
      <c r="O478" s="187"/>
      <c r="P478" s="125"/>
    </row>
    <row r="479" spans="2:16" ht="15.75" thickBot="1">
      <c r="B479" s="135"/>
      <c r="C479" s="35" t="s">
        <v>5</v>
      </c>
      <c r="D479" s="42" t="s">
        <v>6</v>
      </c>
      <c r="E479" s="28"/>
      <c r="F479" s="28"/>
      <c r="G479" s="38" t="s">
        <v>124</v>
      </c>
      <c r="H479" s="28"/>
      <c r="I479" s="38" t="s">
        <v>226</v>
      </c>
      <c r="J479" s="29"/>
      <c r="K479" s="28"/>
      <c r="L479" s="187"/>
      <c r="M479" s="187"/>
      <c r="N479" s="187"/>
      <c r="O479" s="187"/>
      <c r="P479" s="125"/>
    </row>
    <row r="480" spans="2:16" ht="15.75" thickTop="1">
      <c r="B480" s="135"/>
      <c r="C480" s="198" t="s">
        <v>224</v>
      </c>
      <c r="D480" s="201" t="s">
        <v>224</v>
      </c>
      <c r="E480" s="28"/>
      <c r="F480" s="28"/>
      <c r="G480" s="197" t="s">
        <v>7</v>
      </c>
      <c r="H480" s="28"/>
      <c r="I480" s="195" t="s">
        <v>7</v>
      </c>
      <c r="J480" s="29"/>
      <c r="K480" s="28"/>
      <c r="L480" s="187"/>
      <c r="M480" s="187"/>
      <c r="N480" s="187"/>
      <c r="O480" s="187"/>
      <c r="P480" s="125"/>
    </row>
    <row r="481" spans="2:16">
      <c r="B481" s="135"/>
      <c r="C481" s="198" t="s">
        <v>227</v>
      </c>
      <c r="D481" s="200" t="s">
        <v>227</v>
      </c>
      <c r="E481" s="28"/>
      <c r="F481" s="28"/>
      <c r="G481" s="39" t="s">
        <v>25</v>
      </c>
      <c r="H481" s="28"/>
      <c r="I481" s="39" t="s">
        <v>25</v>
      </c>
      <c r="J481" s="29"/>
      <c r="K481" s="28"/>
      <c r="L481" s="187"/>
      <c r="M481" s="187"/>
      <c r="N481" s="187"/>
      <c r="O481" s="187"/>
      <c r="P481" s="125"/>
    </row>
    <row r="482" spans="2:16">
      <c r="B482" s="135"/>
      <c r="C482" s="36" t="s">
        <v>235</v>
      </c>
      <c r="D482" s="43" t="s">
        <v>235</v>
      </c>
      <c r="E482" s="28"/>
      <c r="F482" s="28"/>
      <c r="G482" s="39" t="s">
        <v>32</v>
      </c>
      <c r="H482" s="28"/>
      <c r="I482" s="223" t="s">
        <v>32</v>
      </c>
      <c r="J482" s="29"/>
      <c r="K482" s="28"/>
      <c r="L482" s="187"/>
      <c r="M482" s="187"/>
      <c r="N482" s="187"/>
      <c r="O482" s="187"/>
      <c r="P482" s="125"/>
    </row>
    <row r="483" spans="2:16">
      <c r="B483" s="135"/>
      <c r="C483" s="28"/>
      <c r="D483" s="28"/>
      <c r="E483" s="28"/>
      <c r="F483" s="28"/>
      <c r="G483" s="39" t="s">
        <v>42</v>
      </c>
      <c r="H483" s="28"/>
      <c r="I483" s="40" t="s">
        <v>42</v>
      </c>
      <c r="J483" s="29"/>
      <c r="K483" s="28"/>
      <c r="L483" s="187"/>
      <c r="M483" s="187"/>
      <c r="N483" s="187"/>
      <c r="O483" s="187"/>
      <c r="P483" s="125"/>
    </row>
    <row r="484" spans="2:16">
      <c r="B484" s="135"/>
      <c r="C484" s="28"/>
      <c r="D484" s="28"/>
      <c r="E484" s="28"/>
      <c r="F484" s="28"/>
      <c r="G484" s="39" t="s">
        <v>47</v>
      </c>
      <c r="H484" s="28"/>
      <c r="I484" s="195" t="s">
        <v>47</v>
      </c>
      <c r="J484" s="187"/>
      <c r="K484" s="187"/>
      <c r="L484" s="187"/>
      <c r="M484" s="187"/>
      <c r="N484" s="187"/>
      <c r="O484" s="187"/>
      <c r="P484" s="125"/>
    </row>
    <row r="485" spans="2:16">
      <c r="B485" s="135"/>
      <c r="C485" s="28" t="s">
        <v>125</v>
      </c>
      <c r="D485" s="28"/>
      <c r="E485" s="28"/>
      <c r="F485" s="28"/>
      <c r="G485" s="39" t="s">
        <v>55</v>
      </c>
      <c r="H485" s="31"/>
      <c r="I485" s="195" t="s">
        <v>55</v>
      </c>
      <c r="J485" s="187"/>
      <c r="K485" s="187"/>
      <c r="L485" s="187"/>
      <c r="M485" s="187"/>
      <c r="N485" s="187"/>
      <c r="O485" s="187"/>
      <c r="P485" s="125"/>
    </row>
    <row r="486" spans="2:16" ht="15.75" thickBot="1">
      <c r="B486" s="135"/>
      <c r="C486" s="34" t="s">
        <v>13</v>
      </c>
      <c r="D486" s="33" t="s">
        <v>14</v>
      </c>
      <c r="E486" s="44" t="s">
        <v>15</v>
      </c>
      <c r="F486" s="28"/>
      <c r="G486" s="39" t="s">
        <v>57</v>
      </c>
      <c r="H486" s="28"/>
      <c r="I486" s="39" t="s">
        <v>58</v>
      </c>
      <c r="J486" s="187"/>
      <c r="K486" s="187"/>
      <c r="L486" s="187"/>
      <c r="M486" s="187"/>
      <c r="N486" s="187"/>
      <c r="O486" s="187"/>
      <c r="P486" s="125"/>
    </row>
    <row r="487" spans="2:16" ht="15.75" thickTop="1">
      <c r="B487" s="135"/>
      <c r="C487" s="45" t="s">
        <v>16</v>
      </c>
      <c r="D487" s="46" t="s">
        <v>9</v>
      </c>
      <c r="E487" s="43" t="s">
        <v>17</v>
      </c>
      <c r="F487" s="28"/>
      <c r="G487" s="39" t="s">
        <v>58</v>
      </c>
      <c r="H487" s="28"/>
      <c r="I487" s="39" t="s">
        <v>59</v>
      </c>
      <c r="J487" s="187"/>
      <c r="K487" s="187"/>
      <c r="L487" s="187"/>
      <c r="M487" s="187"/>
      <c r="N487" s="187"/>
      <c r="O487" s="187"/>
      <c r="P487" s="125"/>
    </row>
    <row r="488" spans="2:16">
      <c r="B488" s="135"/>
      <c r="C488" s="45" t="s">
        <v>18</v>
      </c>
      <c r="D488" s="46" t="s">
        <v>10</v>
      </c>
      <c r="E488" s="43" t="s">
        <v>19</v>
      </c>
      <c r="F488" s="28"/>
      <c r="G488" s="39" t="s">
        <v>59</v>
      </c>
      <c r="H488" s="28"/>
      <c r="I488" s="40" t="s">
        <v>60</v>
      </c>
      <c r="J488" s="187"/>
      <c r="K488" s="187"/>
      <c r="L488" s="187"/>
      <c r="M488" s="187"/>
      <c r="N488" s="187"/>
      <c r="O488" s="187"/>
      <c r="P488" s="125"/>
    </row>
    <row r="489" spans="2:16">
      <c r="B489" s="135"/>
      <c r="C489" s="45" t="s">
        <v>20</v>
      </c>
      <c r="D489" s="46" t="s">
        <v>11</v>
      </c>
      <c r="E489" s="43" t="s">
        <v>21</v>
      </c>
      <c r="F489" s="28"/>
      <c r="G489" s="40" t="s">
        <v>60</v>
      </c>
      <c r="H489" s="28"/>
      <c r="I489" s="40" t="s">
        <v>61</v>
      </c>
      <c r="J489" s="187"/>
      <c r="K489" s="187"/>
      <c r="L489" s="187"/>
      <c r="M489" s="187"/>
      <c r="N489" s="187"/>
      <c r="O489" s="187"/>
      <c r="P489" s="125"/>
    </row>
    <row r="490" spans="2:16">
      <c r="B490" s="135"/>
      <c r="C490" s="36" t="s">
        <v>23</v>
      </c>
      <c r="D490" s="46" t="s">
        <v>10</v>
      </c>
      <c r="E490" s="43" t="s">
        <v>19</v>
      </c>
      <c r="F490" s="28"/>
      <c r="G490" s="40" t="s">
        <v>61</v>
      </c>
      <c r="H490" s="28"/>
      <c r="I490" s="40" t="s">
        <v>62</v>
      </c>
      <c r="J490" s="187"/>
      <c r="K490" s="187"/>
      <c r="L490" s="187"/>
      <c r="M490" s="187"/>
      <c r="N490" s="187"/>
      <c r="O490" s="187"/>
      <c r="P490" s="125"/>
    </row>
    <row r="491" spans="2:16">
      <c r="B491" s="135"/>
      <c r="C491" s="36" t="s">
        <v>24</v>
      </c>
      <c r="D491" s="46" t="s">
        <v>10</v>
      </c>
      <c r="E491" s="43" t="s">
        <v>19</v>
      </c>
      <c r="F491" s="28"/>
      <c r="G491" s="40" t="s">
        <v>62</v>
      </c>
      <c r="H491" s="28"/>
      <c r="I491" s="39" t="s">
        <v>63</v>
      </c>
      <c r="J491" s="187"/>
      <c r="K491" s="187"/>
      <c r="L491" s="187"/>
      <c r="M491" s="187"/>
      <c r="N491" s="187"/>
      <c r="O491" s="187"/>
      <c r="P491" s="125"/>
    </row>
    <row r="492" spans="2:16">
      <c r="B492" s="135"/>
      <c r="C492" s="45" t="s">
        <v>26</v>
      </c>
      <c r="D492" s="46" t="s">
        <v>10</v>
      </c>
      <c r="E492" s="39" t="s">
        <v>19</v>
      </c>
      <c r="F492" s="28"/>
      <c r="G492" s="40" t="s">
        <v>63</v>
      </c>
      <c r="H492" s="28"/>
      <c r="I492" s="39" t="s">
        <v>64</v>
      </c>
      <c r="J492" s="187"/>
      <c r="K492" s="187"/>
      <c r="L492" s="187"/>
      <c r="M492" s="187"/>
      <c r="N492" s="187"/>
      <c r="O492" s="187"/>
      <c r="P492" s="125"/>
    </row>
    <row r="493" spans="2:16">
      <c r="B493" s="135"/>
      <c r="C493" s="28"/>
      <c r="D493" s="29"/>
      <c r="E493" s="28"/>
      <c r="F493" s="28"/>
      <c r="G493" s="39" t="s">
        <v>64</v>
      </c>
      <c r="H493" s="28"/>
      <c r="I493" s="39" t="s">
        <v>225</v>
      </c>
      <c r="J493" s="187"/>
      <c r="K493" s="187"/>
      <c r="L493" s="187"/>
      <c r="M493" s="187"/>
      <c r="N493" s="187"/>
      <c r="O493" s="187"/>
      <c r="P493" s="125"/>
    </row>
    <row r="494" spans="2:16">
      <c r="B494" s="135"/>
      <c r="C494" s="28" t="s">
        <v>127</v>
      </c>
      <c r="D494" s="29"/>
      <c r="E494" s="28"/>
      <c r="F494" s="28"/>
      <c r="G494" s="39" t="s">
        <v>99</v>
      </c>
      <c r="H494" s="28"/>
      <c r="I494" s="39" t="s">
        <v>66</v>
      </c>
      <c r="J494" s="187"/>
      <c r="K494" s="187"/>
      <c r="L494" s="187"/>
      <c r="M494" s="187"/>
      <c r="N494" s="187"/>
      <c r="O494" s="187"/>
      <c r="P494" s="125"/>
    </row>
    <row r="495" spans="2:16" ht="15.75" thickBot="1">
      <c r="B495" s="135"/>
      <c r="C495" s="196" t="s">
        <v>93</v>
      </c>
      <c r="D495" s="38" t="s">
        <v>6</v>
      </c>
      <c r="E495" s="28"/>
      <c r="F495" s="28"/>
      <c r="G495" s="39" t="s">
        <v>66</v>
      </c>
      <c r="H495" s="28"/>
      <c r="I495" s="140" t="s">
        <v>67</v>
      </c>
      <c r="J495" s="187"/>
      <c r="K495" s="187"/>
      <c r="L495" s="187"/>
      <c r="M495" s="187"/>
      <c r="N495" s="187"/>
      <c r="O495" s="187"/>
      <c r="P495" s="125"/>
    </row>
    <row r="496" spans="2:16" ht="15.75" thickTop="1">
      <c r="B496" s="135"/>
      <c r="C496" s="36" t="s">
        <v>95</v>
      </c>
      <c r="D496" s="37" t="b">
        <v>1</v>
      </c>
      <c r="E496" s="28"/>
      <c r="F496" s="28"/>
      <c r="G496" s="41" t="s">
        <v>67</v>
      </c>
      <c r="H496" s="28"/>
      <c r="I496" s="1"/>
      <c r="J496" s="187"/>
      <c r="K496" s="187"/>
      <c r="L496" s="187"/>
      <c r="M496" s="187"/>
      <c r="N496" s="187"/>
      <c r="O496" s="187"/>
      <c r="P496" s="125"/>
    </row>
    <row r="497" spans="2:16">
      <c r="B497" s="135"/>
      <c r="C497" s="36" t="s">
        <v>94</v>
      </c>
      <c r="D497" s="37" t="b">
        <v>0</v>
      </c>
      <c r="E497" s="28"/>
      <c r="F497" s="28"/>
      <c r="G497" s="28"/>
      <c r="H497" s="28"/>
      <c r="I497" s="1"/>
      <c r="J497" s="187"/>
      <c r="K497" s="187"/>
      <c r="L497" s="187"/>
      <c r="M497" s="187"/>
      <c r="N497" s="187"/>
      <c r="O497" s="187"/>
      <c r="P497" s="125"/>
    </row>
    <row r="498" spans="2:16">
      <c r="B498" s="135"/>
      <c r="C498" s="28"/>
      <c r="D498" s="29"/>
      <c r="E498" s="29"/>
      <c r="F498" s="28"/>
      <c r="G498" s="30"/>
      <c r="H498" s="28"/>
      <c r="I498" s="1"/>
      <c r="J498" s="4"/>
      <c r="K498" s="4"/>
      <c r="L498" s="4"/>
      <c r="M498" s="4"/>
      <c r="N498" s="4"/>
      <c r="O498" s="4"/>
      <c r="P498" s="125"/>
    </row>
    <row r="499" spans="2:16" ht="15.75" thickBot="1">
      <c r="B499" s="152"/>
      <c r="C499" s="180"/>
      <c r="D499" s="181"/>
      <c r="E499" s="181"/>
      <c r="F499" s="180"/>
      <c r="G499" s="138"/>
      <c r="H499" s="182"/>
      <c r="I499" s="138"/>
      <c r="J499" s="138"/>
      <c r="K499" s="138"/>
      <c r="L499" s="138"/>
      <c r="M499" s="138"/>
      <c r="N499" s="138"/>
      <c r="O499" s="138"/>
      <c r="P499" s="139"/>
    </row>
    <row r="500" spans="6:8" ht="15.75" thickTop="1">
      <c r="F500" s="183"/>
      <c r="H500" s="32"/>
    </row>
    <row r="501" spans="6:11">
      <c r="F501" s="183"/>
      <c r="G501" s="183"/>
      <c r="H501" s="183"/>
      <c r="I501" s="37"/>
      <c r="J501" s="37"/>
      <c r="K501" s="32"/>
    </row>
    <row r="502" spans="6:11">
      <c r="F502" s="183"/>
      <c r="G502" s="183"/>
      <c r="H502" s="183"/>
      <c r="I502" s="37"/>
      <c r="J502" s="37"/>
      <c r="K502" s="32"/>
    </row>
    <row r="503" spans="6:11">
      <c r="F503" s="183"/>
      <c r="G503" s="183"/>
      <c r="H503" s="183"/>
      <c r="I503" s="37"/>
      <c r="J503" s="37"/>
      <c r="K503" s="32"/>
    </row>
    <row r="504" spans="6:11">
      <c r="F504" s="183"/>
      <c r="G504" s="183"/>
      <c r="H504" s="183"/>
      <c r="I504" s="37"/>
      <c r="J504" s="37"/>
      <c r="K504" s="32"/>
    </row>
    <row r="505" spans="6:11">
      <c r="F505" s="183"/>
      <c r="G505" s="183"/>
      <c r="H505" s="183"/>
      <c r="I505" s="37"/>
      <c r="J505" s="37"/>
      <c r="K505" s="32"/>
    </row>
    <row r="506" spans="6:11">
      <c r="F506" s="183"/>
      <c r="G506" s="183"/>
      <c r="H506" s="183"/>
      <c r="I506" s="37"/>
      <c r="J506" s="37"/>
      <c r="K506" s="32"/>
    </row>
    <row r="507" spans="6:11">
      <c r="F507" s="183"/>
      <c r="G507" s="183"/>
      <c r="H507" s="183"/>
      <c r="I507" s="37"/>
      <c r="J507" s="37"/>
      <c r="K507" s="32"/>
    </row>
    <row r="508" spans="6:11">
      <c r="F508" s="183"/>
      <c r="G508" s="183"/>
      <c r="H508" s="183"/>
      <c r="I508" s="37"/>
      <c r="J508" s="37"/>
      <c r="K508" s="41"/>
    </row>
    <row r="509" spans="6:11">
      <c r="F509" s="183"/>
      <c r="G509" s="183"/>
      <c r="H509" s="183"/>
      <c r="I509" s="37"/>
      <c r="J509" s="37"/>
      <c r="K509" s="41"/>
    </row>
    <row r="510" spans="6:11">
      <c r="F510" s="183"/>
      <c r="G510" s="183"/>
      <c r="H510" s="183"/>
      <c r="I510" s="37"/>
      <c r="J510" s="37"/>
      <c r="K510" s="41"/>
    </row>
    <row r="511" spans="6:11">
      <c r="F511" s="183"/>
      <c r="G511" s="183"/>
      <c r="H511" s="183"/>
      <c r="I511" s="37"/>
      <c r="J511" s="37"/>
      <c r="K511" s="41"/>
    </row>
    <row r="512" spans="6:11">
      <c r="F512" s="183"/>
      <c r="G512" s="183"/>
      <c r="H512" s="183"/>
      <c r="I512" s="37"/>
      <c r="J512" s="37"/>
      <c r="K512" s="41"/>
    </row>
    <row r="513" spans="6:11">
      <c r="F513" s="183"/>
      <c r="G513" s="183"/>
      <c r="H513" s="183"/>
      <c r="I513" s="37"/>
      <c r="J513" s="37"/>
      <c r="K513" s="41"/>
    </row>
    <row r="514" spans="6:11">
      <c r="F514" s="183"/>
      <c r="G514" s="183"/>
      <c r="H514" s="183"/>
      <c r="I514" s="37"/>
      <c r="J514" s="37"/>
      <c r="K514" s="41"/>
    </row>
    <row r="515" spans="6:11">
      <c r="F515" s="183"/>
      <c r="G515" s="183"/>
      <c r="H515" s="183"/>
      <c r="I515" s="37"/>
      <c r="J515" s="37"/>
      <c r="K515" s="41"/>
    </row>
    <row r="516" spans="6:11">
      <c r="F516" s="183"/>
      <c r="G516" s="183"/>
      <c r="H516" s="183"/>
      <c r="I516" s="37"/>
      <c r="J516" s="37"/>
      <c r="K516" s="32"/>
    </row>
    <row r="517" spans="6:16">
      <c r="F517" s="183"/>
      <c r="G517" s="183"/>
      <c r="H517" s="183"/>
      <c r="I517" s="37"/>
      <c r="J517" s="37"/>
      <c r="K517" s="32"/>
      <c r="L517" s="32"/>
      <c r="M517" s="32"/>
      <c r="N517" s="32"/>
      <c r="O517" s="32"/>
      <c r="P517" s="32"/>
    </row>
    <row r="518" spans="9:9">
      <c r="I518" s="143"/>
    </row>
    <row r="519" spans="9:9">
      <c r="I519" s="143"/>
    </row>
    <row r="520" spans="9:9">
      <c r="I520" s="143"/>
    </row>
    <row r="521" spans="9:9">
      <c r="I521" s="143"/>
    </row>
    <row r="522" spans="9:9">
      <c r="I522" s="143"/>
    </row>
    <row r="523" spans="9:9">
      <c r="I523" s="143"/>
    </row>
    <row r="524" spans="9:9">
      <c r="I524" s="143"/>
    </row>
    <row r="525" spans="9:9">
      <c r="I525" s="143"/>
    </row>
    <row r="526" spans="9:9">
      <c r="I526" s="143"/>
    </row>
    <row r="527" spans="9:9">
      <c r="I527" s="143"/>
    </row>
    <row r="528" spans="9:9">
      <c r="I528" s="143"/>
    </row>
    <row r="529" spans="9:9">
      <c r="I529" s="143"/>
    </row>
    <row r="530" spans="9:9">
      <c r="I530" s="143"/>
    </row>
    <row r="531" spans="9:9">
      <c r="I531" s="143"/>
    </row>
    <row r="532" spans="9:9">
      <c r="I532" s="143"/>
    </row>
    <row r="533" spans="9:9">
      <c r="I533" s="143"/>
    </row>
    <row r="534" spans="9:9">
      <c r="I534" s="143"/>
    </row>
    <row r="535" spans="9:9">
      <c r="I535" s="143"/>
    </row>
    <row r="536" spans="9:9">
      <c r="I536" s="143"/>
    </row>
    <row r="537" spans="9:9">
      <c r="I537" s="143"/>
    </row>
    <row r="538" spans="9:9">
      <c r="I538" s="143"/>
    </row>
    <row r="539" spans="9:9">
      <c r="I539" s="143"/>
    </row>
    <row r="540" spans="9:9">
      <c r="I540" s="143"/>
    </row>
    <row r="541" spans="9:9">
      <c r="I541" s="143"/>
    </row>
    <row r="542" spans="9:9">
      <c r="I542" s="143"/>
    </row>
    <row r="543" spans="9:9">
      <c r="I543" s="143"/>
    </row>
    <row r="544" spans="9:9">
      <c r="I544" s="143"/>
    </row>
    <row r="545" spans="9:9">
      <c r="I545" s="143"/>
    </row>
    <row r="546" spans="9:9">
      <c r="I546" s="143"/>
    </row>
  </sheetData>
  <sheetProtection algorithmName="SHA-512" hashValue="m9fQr9F82zSwFyuldV9Z3gAFO8hba2s6i05e8UjpAo4LmDwgr+mn2dygUXCOWoaLB+IZST+fxTO74UK+eoZijA==" saltValue="Fx7s5Kn47e7UdVP7F/2ERg==" spinCount="100000" sheet="1" objects="1" scenarios="1"/>
  <mergeCells count="1">
    <mergeCell ref="B2:P4"/>
  </mergeCells>
  <dataValidations count="1">
    <dataValidation allowBlank="1" showInputMessage="1" showErrorMessage="1" prompt="This value is dependent on the rainfall volume." sqref="I448:J450 I444:J444"/>
  </dataValidations>
  <pageMargins left="0.7" right="0.7" top="0.75" bottom="0.75" header="0.3" footer="0.3"/>
  <pageSetup paperSize="9" orientation="portrait"/>
  <headerFooter scaleWithDoc="1" alignWithMargins="0" differentFirst="0" differentOddEven="0"/>
  <extLst/>
</worksheet>
</file>

<file path=customXml/_rels/item1.xml.rels><?xml version="1.0" encoding="utf-8" standalone="yes"?><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 /></Relationships>
</file>

<file path=customXml/_rels/item4.xml.rels><?xml version="1.0" encoding="utf-8" standalone="yes"?><Relationships xmlns="http://schemas.openxmlformats.org/package/2006/relationships"><Relationship Id="rId1" Type="http://schemas.openxmlformats.org/officeDocument/2006/relationships/customXmlProps" Target="itemProps4.xml" /></Relationships>
</file>

<file path=customXml/item1.xml><?xml version="1.0" encoding="utf-8"?>
<?mso-contentType ?>
<SharedContentType xmlns="Microsoft.SharePoint.Taxonomy.ContentTypeSync" SourceId="d1117845-93f6-4da3-abaa-fcb4fa669c78" ContentTypeId="0x010100A5BF1C78D9F64B679A5EBDE1C6598EBC01" PreviousValue="false"/>
</file>

<file path=customXml/item2.xml><?xml version="1.0" encoding="utf-8"?>
<ct:contentTypeSchema xmlns:ct="http://schemas.microsoft.com/office/2006/metadata/contentType" xmlns:ma="http://schemas.microsoft.com/office/2006/metadata/properties/metaAttributes" ct:_="" ma:_="" ma:contentTypeName="Defra document" ma:contentTypeID="0x010100A5BF1C78D9F64B679A5EBDE1C6598EBC01001709A144B6CB1247B0EB17D39170EEBB" ma:contentTypeVersion="13" ma:contentTypeDescription="Create a new document." ma:contentTypeScope="" ma:versionID="67ecd45f770d3e359dffe841dc5eb5e3">
  <xsd:schema xmlns:xsd="http://www.w3.org/2001/XMLSchema" xmlns:xs="http://www.w3.org/2001/XMLSchema" xmlns:p="http://schemas.microsoft.com/office/2006/metadata/properties" xmlns:ns2="662745e8-e224-48e8-a2e3-254862b8c2f5" xmlns:ns3="50608f39-3744-4f2b-8ddf-6077ea9dcf84" xmlns:ns4="41b1b97e-58d0-4f82-aacc-4a7d6fa43521" targetNamespace="http://schemas.microsoft.com/office/2006/metadata/properties" ma:root="true" ma:fieldsID="42e099b84febb67c73aa22ba39b9046a" ns2:_="" ns3:_="" ns4:_="">
    <xsd:import namespace="662745e8-e224-48e8-a2e3-254862b8c2f5"/>
    <xsd:import namespace="50608f39-3744-4f2b-8ddf-6077ea9dcf84"/>
    <xsd:import namespace="41b1b97e-58d0-4f82-aacc-4a7d6fa43521"/>
    <xsd:element name="properties">
      <xsd:complexType>
        <xsd:sequence>
          <xsd:element name="documentManagement">
            <xsd:complexType>
              <xsd:all>
                <xsd:element ref="ns2:lae2bfa7b6474897ab4a53f76ea236c7" minOccurs="0"/>
                <xsd:element ref="ns2:TaxCatchAll" minOccurs="0"/>
                <xsd:element ref="ns2:TaxCatchAllLabel" minOccurs="0"/>
                <xsd:element ref="ns2:cf401361b24e474cb011be6eb76c0e76" minOccurs="0"/>
                <xsd:element ref="ns2:n7493b4506bf40e28c373b1e51a33445" minOccurs="0"/>
                <xsd:element ref="ns2:HOMigrated" minOccurs="0"/>
                <xsd:element ref="ns2:k85d23755b3a46b5a51451cf336b2e9b" minOccurs="0"/>
                <xsd:element ref="ns2:Team" minOccurs="0"/>
                <xsd:element ref="ns2:Topic" minOccurs="0"/>
                <xsd:element ref="ns2:ddeb1fd0a9ad4436a96525d34737dc44" minOccurs="0"/>
                <xsd:element ref="ns2:fe59e9859d6a491389c5b03567f5dda5" minOccurs="0"/>
                <xsd:element ref="ns3:MediaServiceMetadata" minOccurs="0"/>
                <xsd:element ref="ns3:MediaServiceFastMetadata" minOccurs="0"/>
                <xsd:element ref="ns4:SharedWithUsers" minOccurs="0"/>
                <xsd:element ref="ns4:SharedWithDetails" minOccurs="0"/>
                <xsd:element ref="ns3:MediaServiceAutoKeyPoints" minOccurs="0"/>
                <xsd:element ref="ns3:MediaServiceKeyPoints" minOccurs="0"/>
                <xsd:element ref="ns3:MediaServiceDateTaken" minOccurs="0"/>
                <xsd:element ref="ns3:MediaLengthInSeconds" minOccurs="0"/>
                <xsd:element ref="ns3:MediaServiceAuto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lae2bfa7b6474897ab4a53f76ea236c7" ma:index="8" ma:taxonomy="true" ma:internalName="lae2bfa7b6474897ab4a53f76ea236c7" ma:taxonomyFieldName="HOGovernmentSecurityClassification" ma:displayName="Government Security Classification" ma:readOnly="false" ma:default="6;#Official|14c80daa-741b-422c-9722-f71693c9ede4" ma:fieldId="{5ae2bfa7-b647-4897-ab4a-53f76ea236c7}" ma:sspId="d1117845-93f6-4da3-abaa-fcb4fa669c78" ma:termSetId="56209604-fc17-4ace-9b7b-f45f0f17d50b"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19ba13cf-7d0b-4653-bdd4-d6cd8989d710}" ma:internalName="TaxCatchAll" ma:showField="CatchAllData" ma:web="41b1b97e-58d0-4f82-aacc-4a7d6fa43521">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19ba13cf-7d0b-4653-bdd4-d6cd8989d710}" ma:internalName="TaxCatchAllLabel" ma:readOnly="true" ma:showField="CatchAllDataLabel" ma:web="41b1b97e-58d0-4f82-aacc-4a7d6fa43521">
      <xsd:complexType>
        <xsd:complexContent>
          <xsd:extension base="dms:MultiChoiceLookup">
            <xsd:sequence>
              <xsd:element name="Value" type="dms:Lookup" maxOccurs="unbounded" minOccurs="0" nillable="true"/>
            </xsd:sequence>
          </xsd:extension>
        </xsd:complexContent>
      </xsd:complexType>
    </xsd:element>
    <xsd:element name="cf401361b24e474cb011be6eb76c0e76" ma:index="12" ma:taxonomy="true" ma:internalName="cf401361b24e474cb011be6eb76c0e76" ma:taxonomyFieldName="HOCopyrightLevel" ma:displayName="Copyright level" ma:readOnly="false" ma:default="7;#Crown|69589897-2828-4761-976e-717fd8e631c9" ma:fieldId="{cf401361-b24e-474c-b011-be6eb76c0e76}" ma:sspId="d1117845-93f6-4da3-abaa-fcb4fa669c78" ma:termSetId="bdd694c6-7266-48f2-93d6-d15992cd203e" ma:anchorId="00000000-0000-0000-0000-000000000000" ma:open="false" ma:isKeyword="false">
      <xsd:complexType>
        <xsd:sequence>
          <xsd:element ref="pc:Terms" minOccurs="0" maxOccurs="1"/>
        </xsd:sequence>
      </xsd:complexType>
    </xsd:element>
    <xsd:element name="n7493b4506bf40e28c373b1e51a33445" ma:index="14" nillable="true" ma:taxonomy="true" ma:internalName="n7493b4506bf40e28c373b1e51a33445" ma:taxonomyFieldName="HOSiteType" ma:displayName="Site type" ma:default="10;#Team|ff0485df-0575-416f-802f-e999165821b7" ma:fieldId="{77493b45-06bf-40e2-8c37-3b1e51a33445}" ma:sspId="d1117845-93f6-4da3-abaa-fcb4fa669c78" ma:termSetId="4518b03a-1a05-49af-8bf2-e5548589f21b" ma:anchorId="00000000-0000-0000-0000-000000000000" ma:open="false" ma:isKeyword="false">
      <xsd:complexType>
        <xsd:sequence>
          <xsd:element ref="pc:Terms" minOccurs="0" maxOccurs="1"/>
        </xsd:sequence>
      </xsd:complexType>
    </xsd:element>
    <xsd:element name="HOMigrated" ma:index="16" nillable="true" ma:displayName="Migrated" ma:default="0" ma:internalName="HOMigrated">
      <xsd:simpleType>
        <xsd:restriction base="dms:Boolean"/>
      </xsd:simpleType>
    </xsd:element>
    <xsd:element name="k85d23755b3a46b5a51451cf336b2e9b" ma:index="17" nillable="true" ma:taxonomy="true" ma:internalName="k85d23755b3a46b5a51451cf336b2e9b" ma:taxonomyFieldName="InformationType" ma:displayName="Information Type" ma:fieldId="{485d2375-5b3a-46b5-a514-51cf336b2e9b}" ma:sspId="d1117845-93f6-4da3-abaa-fcb4fa669c78" ma:termSetId="75cb3767-2327-4339-b999-281b3f58ac0a" ma:anchorId="00000000-0000-0000-0000-000000000000" ma:open="false" ma:isKeyword="false">
      <xsd:complexType>
        <xsd:sequence>
          <xsd:element ref="pc:Terms" minOccurs="0" maxOccurs="1"/>
        </xsd:sequence>
      </xsd:complexType>
    </xsd:element>
    <xsd:element name="Team" ma:index="19" nillable="true" ma:displayName="Team" ma:default="Natural England Programmes" ma:internalName="Team">
      <xsd:simpleType>
        <xsd:restriction base="dms:Text"/>
      </xsd:simpleType>
    </xsd:element>
    <xsd:element name="Topic" ma:index="20" nillable="true" ma:displayName="Topic" ma:default="Strategic solutions" ma:internalName="Topic">
      <xsd:simpleType>
        <xsd:restriction base="dms:Text"/>
      </xsd:simpleType>
    </xsd:element>
    <xsd:element name="ddeb1fd0a9ad4436a96525d34737dc44" ma:index="21" nillable="true" ma:taxonomy="true" ma:internalName="ddeb1fd0a9ad4436a96525d34737dc44" ma:taxonomyFieldName="Distribution" ma:displayName="Distribution" ma:default="9;#Internal Defra Group|0867f7b3-e76e-40ca-bb1f-5ba341a49230" ma:fieldId="{ddeb1fd0-a9ad-4436-a965-25d34737dc44}" ma:sspId="d1117845-93f6-4da3-abaa-fcb4fa669c78" ma:termSetId="9c8b5dbf-8bad-46e4-8055-6e01c16178d6" ma:anchorId="00000000-0000-0000-0000-000000000000" ma:open="false" ma:isKeyword="false">
      <xsd:complexType>
        <xsd:sequence>
          <xsd:element ref="pc:Terms" minOccurs="0" maxOccurs="1"/>
        </xsd:sequence>
      </xsd:complexType>
    </xsd:element>
    <xsd:element name="fe59e9859d6a491389c5b03567f5dda5" ma:index="23" nillable="true" ma:taxonomy="true" ma:internalName="fe59e9859d6a491389c5b03567f5dda5" ma:taxonomyFieldName="OrganisationalUnit" ma:displayName="Organisational Unit" ma:default="8;#NE|275df9ce-cd92-4318-adfe-db572e51c7ff" ma:fieldId="{fe59e985-9d6a-4913-89c5-b03567f5dda5}" ma:sspId="d1117845-93f6-4da3-abaa-fcb4fa669c78" ma:termSetId="55eb802e-fbca-455b-a7d2-d5919d4ea3d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0608f39-3744-4f2b-8ddf-6077ea9dcf84" elementFormDefault="qualified">
    <xsd:import namespace="http://schemas.microsoft.com/office/2006/documentManagement/types"/>
    <xsd:import namespace="http://schemas.microsoft.com/office/infopath/2007/PartnerControls"/>
    <xsd:element name="MediaServiceMetadata" ma:index="25" nillable="true" ma:displayName="MediaServiceMetadata" ma:hidden="true" ma:internalName="MediaServiceMetadata" ma:readOnly="true">
      <xsd:simpleType>
        <xsd:restriction base="dms:Note"/>
      </xsd:simpleType>
    </xsd:element>
    <xsd:element name="MediaServiceFastMetadata" ma:index="26" nillable="true" ma:displayName="MediaServiceFastMetadata" ma:hidden="true" ma:internalName="MediaServiceFastMetadata" ma:readOnly="true">
      <xsd:simpleType>
        <xsd:restriction base="dms:Note"/>
      </xsd:simpleType>
    </xsd:element>
    <xsd:element name="MediaServiceAutoKeyPoints" ma:index="29" nillable="true" ma:displayName="MediaServiceAutoKeyPoints" ma:hidden="true" ma:internalName="MediaServiceAutoKeyPoints" ma:readOnly="true">
      <xsd:simpleType>
        <xsd:restriction base="dms:Note"/>
      </xsd:simpleType>
    </xsd:element>
    <xsd:element name="MediaServiceKeyPoints" ma:index="30" nillable="true" ma:displayName="KeyPoints" ma:internalName="MediaServiceKeyPoints" ma:readOnly="true">
      <xsd:simpleType>
        <xsd:restriction base="dms:Note">
          <xsd:maxLength value="255"/>
        </xsd:restriction>
      </xsd:simpleType>
    </xsd:element>
    <xsd:element name="MediaServiceDateTaken" ma:index="31" nillable="true" ma:displayName="MediaServiceDateTaken" ma:hidden="true" ma:internalName="MediaServiceDateTaken" ma:readOnly="true">
      <xsd:simpleType>
        <xsd:restriction base="dms:Text"/>
      </xsd:simpleType>
    </xsd:element>
    <xsd:element name="MediaLengthInSeconds" ma:index="32" nillable="true" ma:displayName="Length (seconds)" ma:internalName="MediaLengthInSeconds" ma:readOnly="true">
      <xsd:simpleType>
        <xsd:restriction base="dms:Unknown"/>
      </xsd:simpleType>
    </xsd:element>
    <xsd:element name="MediaServiceAutoTags" ma:index="33" nillable="true" ma:displayName="Tags" ma:internalName="MediaServiceAutoTag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1b1b97e-58d0-4f82-aacc-4a7d6fa43521" elementFormDefault="qualified">
    <xsd:import namespace="http://schemas.microsoft.com/office/2006/documentManagement/types"/>
    <xsd:import namespace="http://schemas.microsoft.com/office/infopath/2007/PartnerControls"/>
    <xsd:element name="SharedWithUsers" ma:index="2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f401361b24e474cb011be6eb76c0e76 xmlns="662745e8-e224-48e8-a2e3-254862b8c2f5">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k85d23755b3a46b5a51451cf336b2e9b xmlns="662745e8-e224-48e8-a2e3-254862b8c2f5">
      <Terms xmlns="http://schemas.microsoft.com/office/infopath/2007/PartnerControls"/>
    </k85d23755b3a46b5a51451cf336b2e9b>
    <Topic xmlns="662745e8-e224-48e8-a2e3-254862b8c2f5">Strategic solutions</Topic>
    <HOMigrated xmlns="662745e8-e224-48e8-a2e3-254862b8c2f5">false</HOMigrated>
    <ddeb1fd0a9ad4436a96525d34737dc44 xmlns="662745e8-e224-48e8-a2e3-254862b8c2f5">
      <Terms xmlns="http://schemas.microsoft.com/office/infopath/2007/PartnerControls">
        <TermInfo xmlns="http://schemas.microsoft.com/office/infopath/2007/PartnerControls">
          <TermName xmlns="http://schemas.microsoft.com/office/infopath/2007/PartnerControls">Internal Defra Group</TermName>
          <TermId xmlns="http://schemas.microsoft.com/office/infopath/2007/PartnerControls">0867f7b3-e76e-40ca-bb1f-5ba341a49230</TermId>
        </TermInfo>
      </Terms>
    </ddeb1fd0a9ad4436a96525d34737dc44>
    <lae2bfa7b6474897ab4a53f76ea236c7 xmlns="662745e8-e224-48e8-a2e3-254862b8c2f5">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TaxCatchAll xmlns="662745e8-e224-48e8-a2e3-254862b8c2f5">
      <Value>10</Value>
      <Value>9</Value>
      <Value>8</Value>
      <Value>7</Value>
      <Value>6</Value>
    </TaxCatchAll>
    <fe59e9859d6a491389c5b03567f5dda5 xmlns="662745e8-e224-48e8-a2e3-254862b8c2f5">
      <Terms xmlns="http://schemas.microsoft.com/office/infopath/2007/PartnerControls">
        <TermInfo xmlns="http://schemas.microsoft.com/office/infopath/2007/PartnerControls">
          <TermName xmlns="http://schemas.microsoft.com/office/infopath/2007/PartnerControls">NE</TermName>
          <TermId xmlns="http://schemas.microsoft.com/office/infopath/2007/PartnerControls">275df9ce-cd92-4318-adfe-db572e51c7ff</TermId>
        </TermInfo>
      </Terms>
    </fe59e9859d6a491389c5b03567f5dda5>
    <Team xmlns="662745e8-e224-48e8-a2e3-254862b8c2f5">Natural England Programmes</Team>
    <n7493b4506bf40e28c373b1e51a33445 xmlns="662745e8-e224-48e8-a2e3-254862b8c2f5">
      <Terms xmlns="http://schemas.microsoft.com/office/infopath/2007/PartnerControls">
        <TermInfo xmlns="http://schemas.microsoft.com/office/infopath/2007/PartnerControls">
          <TermName xmlns="http://schemas.microsoft.com/office/infopath/2007/PartnerControls">Team</TermName>
          <TermId xmlns="http://schemas.microsoft.com/office/infopath/2007/PartnerControls">ff0485df-0575-416f-802f-e999165821b7</TermId>
        </TermInfo>
      </Terms>
    </n7493b4506bf40e28c373b1e51a33445>
  </documentManagement>
</p:properties>
</file>

<file path=customXml/item4.xml><?xml version="1.0" encoding="utf-8"?>
<p:properties xmlns:xsi="http://www.w3.org/2001/XMLSchema-instance" xmlns:pc="http://schemas.microsoft.com/office/infopath/2007/PartnerControls" xmlns:p="http://schemas.microsoft.com/office/2006/metadata/properties">
  <documentManagement>
    <lae2bfa7b6474897ab4a53f76ea236c7 xmlns="662745e8-e224-48e8-a2e3-254862b8c2f5">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TaxCatchAll xmlns="662745e8-e224-48e8-a2e3-254862b8c2f5">
      <Value xmlns="662745e8-e224-48e8-a2e3-254862b8c2f5">10</Value>
      <Value xmlns="662745e8-e224-48e8-a2e3-254862b8c2f5">9</Value>
      <Value xmlns="662745e8-e224-48e8-a2e3-254862b8c2f5">8</Value>
      <Value xmlns="662745e8-e224-48e8-a2e3-254862b8c2f5">7</Value>
      <Value xmlns="662745e8-e224-48e8-a2e3-254862b8c2f5">6</Value>
    </TaxCatchAll>
    <cf401361b24e474cb011be6eb76c0e76 xmlns="662745e8-e224-48e8-a2e3-254862b8c2f5">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n7493b4506bf40e28c373b1e51a33445 xmlns="662745e8-e224-48e8-a2e3-254862b8c2f5">
      <Terms xmlns="http://schemas.microsoft.com/office/infopath/2007/PartnerControls">
        <TermInfo xmlns="http://schemas.microsoft.com/office/infopath/2007/PartnerControls">
          <TermName xmlns="http://schemas.microsoft.com/office/infopath/2007/PartnerControls">Team</TermName>
          <TermId xmlns="http://schemas.microsoft.com/office/infopath/2007/PartnerControls">ff0485df-0575-416f-802f-e999165821b7</TermId>
        </TermInfo>
      </Terms>
    </n7493b4506bf40e28c373b1e51a33445>
    <HOMigrated xmlns="662745e8-e224-48e8-a2e3-254862b8c2f5">false</HOMigrated>
    <k85d23755b3a46b5a51451cf336b2e9b xmlns="662745e8-e224-48e8-a2e3-254862b8c2f5">
      <Terms xmlns="http://schemas.microsoft.com/office/infopath/2007/PartnerControls"/>
    </k85d23755b3a46b5a51451cf336b2e9b>
    <Team xmlns="662745e8-e224-48e8-a2e3-254862b8c2f5">Natural England Programmes</Team>
    <Topic xmlns="662745e8-e224-48e8-a2e3-254862b8c2f5">Strategic solutions</Topic>
    <ddeb1fd0a9ad4436a96525d34737dc44 xmlns="662745e8-e224-48e8-a2e3-254862b8c2f5">
      <Terms xmlns="http://schemas.microsoft.com/office/infopath/2007/PartnerControls">
        <TermInfo xmlns="http://schemas.microsoft.com/office/infopath/2007/PartnerControls">
          <TermName xmlns="http://schemas.microsoft.com/office/infopath/2007/PartnerControls">Internal Defra Group</TermName>
          <TermId xmlns="http://schemas.microsoft.com/office/infopath/2007/PartnerControls">0867f7b3-e76e-40ca-bb1f-5ba341a49230</TermId>
        </TermInfo>
      </Terms>
    </ddeb1fd0a9ad4436a96525d34737dc44>
    <fe59e9859d6a491389c5b03567f5dda5 xmlns="662745e8-e224-48e8-a2e3-254862b8c2f5">
      <Terms xmlns="http://schemas.microsoft.com/office/infopath/2007/PartnerControls">
        <TermInfo xmlns="http://schemas.microsoft.com/office/infopath/2007/PartnerControls">
          <TermName xmlns="http://schemas.microsoft.com/office/infopath/2007/PartnerControls">NE</TermName>
          <TermId xmlns="http://schemas.microsoft.com/office/infopath/2007/PartnerControls">275df9ce-cd92-4318-adfe-db572e51c7ff</TermId>
        </TermInfo>
      </Terms>
    </fe59e9859d6a491389c5b03567f5dda5>
  </documentManagement>
</p:properties>
</file>

<file path=customXml/itemProps1.xml><?xml version="1.0" encoding="utf-8"?>
<ds:datastoreItem xmlns:ds="http://schemas.openxmlformats.org/officeDocument/2006/customXml" ds:itemID="{1EFE5926-1446-4808-99DF-07D228868376}"/>
</file>

<file path=customXml/itemProps2.xml><?xml version="1.0" encoding="utf-8"?>
<ds:datastoreItem xmlns:ds="http://schemas.openxmlformats.org/officeDocument/2006/customXml" ds:itemID="{9C4C7035-2612-4340-98B9-9514C6D462BE}"/>
</file>

<file path=customXml/itemProps3.xml><?xml version="1.0" encoding="utf-8"?>
<ds:datastoreItem xmlns:ds="http://schemas.openxmlformats.org/officeDocument/2006/customXml" ds:itemID="{A6576791-8BE6-4FB2-AC0C-3E1110FACABE}"/>
</file>

<file path=customXml/itemProps4.xml><?xml version="1.0" encoding="utf-8"?>
<ds:datastoreItem xmlns:ds="http://schemas.openxmlformats.org/officeDocument/2006/customXml" ds:itemID="{9B024371-FBFD-47AD-AD77-1019064E2A27}"/>
</file>

<file path=docProps/app.xml><?xml version="1.0" encoding="utf-8"?>
<Properties xmlns="http://schemas.openxmlformats.org/officeDocument/2006/extended-properties">
  <Application>Microsoft Excel</Application>
  <Company/>
  <AppVersion>16.0300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Sealy, Declan</dc:creator>
  <cp:keywords/>
  <cp:lastModifiedBy>snab-importer</cp:lastModifiedBy>
  <dcterms:created xsi:type="dcterms:W3CDTF">2021-10-14T13:24:34Z</dcterms:created>
  <dcterms:modified xsi:type="dcterms:W3CDTF">2024-06-26T12:04:03Z</dcterms:modified>
  <dc:subject/>
  <dc:title>The_Broads_calculator</dc:title>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str>0x010100A5BF1C78D9F64B679A5EBDE1C6598EBC01001709A144B6CB1247B0EB17D39170EEBB</vt:lpstr>
  </property>
</Properties>
</file>